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598" activeTab="0"/>
  </bookViews>
  <sheets>
    <sheet name="Geral" sheetId="1" r:id="rId1"/>
  </sheets>
  <definedNames>
    <definedName name="_xlnm.Print_Area" localSheetId="0">'Geral'!$A$1:$BE$100</definedName>
  </definedNames>
  <calcPr fullCalcOnLoad="1"/>
</workbook>
</file>

<file path=xl/sharedStrings.xml><?xml version="1.0" encoding="utf-8"?>
<sst xmlns="http://schemas.openxmlformats.org/spreadsheetml/2006/main" count="300" uniqueCount="88">
  <si>
    <t>Item</t>
  </si>
  <si>
    <t>SERVIÇOS</t>
  </si>
  <si>
    <t>Valor dos</t>
  </si>
  <si>
    <t>PESO</t>
  </si>
  <si>
    <t>Serviços (R$)</t>
  </si>
  <si>
    <t>%</t>
  </si>
  <si>
    <t>(R$)</t>
  </si>
  <si>
    <t>Serviços preliminares</t>
  </si>
  <si>
    <t>Fundação</t>
  </si>
  <si>
    <t>Alvenaria</t>
  </si>
  <si>
    <t>Cobertura</t>
  </si>
  <si>
    <t>Revestimento</t>
  </si>
  <si>
    <t>Pisos</t>
  </si>
  <si>
    <t>Pintura</t>
  </si>
  <si>
    <t>Instalações elétricas</t>
  </si>
  <si>
    <t>Instalações hidráulicas</t>
  </si>
  <si>
    <t>TOTAL FÍSICO (%)</t>
  </si>
  <si>
    <t>PERÍODO</t>
  </si>
  <si>
    <t>ACUMULADO</t>
  </si>
  <si>
    <t>Total  adm,ferram e trein.</t>
  </si>
  <si>
    <t xml:space="preserve"> </t>
  </si>
  <si>
    <t>Aparelhos sanitários</t>
  </si>
  <si>
    <t>CDHU- COMPANHIA DE DESENVOLVIMENTO HABITACIONAL E URBANO - SP</t>
  </si>
  <si>
    <t>OBRA: CONJUNTO HABITACIONAL ORLÂNDIA "F"</t>
  </si>
  <si>
    <t>NUMERO DE UNIDADES:</t>
  </si>
  <si>
    <t>CONTRATADA: PREFEITURA MUNICIPAL DE ORLÂNDIA</t>
  </si>
  <si>
    <t>TIPO: TI 24A - 3 Dormitorios</t>
  </si>
  <si>
    <t>DATA BASE:</t>
  </si>
  <si>
    <t>K</t>
  </si>
  <si>
    <t>A. EDIFICAÇÃO</t>
  </si>
  <si>
    <t>Total da infraestrutura</t>
  </si>
  <si>
    <t>A</t>
  </si>
  <si>
    <t>EDIFICAÇÃO</t>
  </si>
  <si>
    <t>B</t>
  </si>
  <si>
    <t>INFRAESTRUTURA</t>
  </si>
  <si>
    <t>Total material</t>
  </si>
  <si>
    <t xml:space="preserve">  </t>
  </si>
  <si>
    <t xml:space="preserve">   </t>
  </si>
  <si>
    <t>Forro ( laje WC )</t>
  </si>
  <si>
    <t>Esquadrias  Madeira</t>
  </si>
  <si>
    <t>TOTAL FINANCEIRO (%)</t>
  </si>
  <si>
    <t>TOTAL  GERAL</t>
  </si>
  <si>
    <t xml:space="preserve"> TOTAL GERAL</t>
  </si>
  <si>
    <t>D. TAXA DE ADM., TREINAMENTO,FERRAMENTA, E MELHORIAS URBANAS</t>
  </si>
  <si>
    <t>Rede de água</t>
  </si>
  <si>
    <t>Rede de esgoto</t>
  </si>
  <si>
    <t>Terraplenagem</t>
  </si>
  <si>
    <t>Drenagem</t>
  </si>
  <si>
    <t>Pavimentação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</si>
  <si>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</si>
  <si>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</si>
  <si>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</si>
  <si>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</si>
  <si>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</si>
  <si>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</si>
  <si>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</si>
  <si>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</si>
  <si>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</si>
  <si>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</si>
  <si>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</si>
  <si>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</si>
  <si>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</si>
  <si>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</si>
  <si>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</si>
  <si>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</si>
  <si>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</si>
  <si>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</si>
  <si>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</si>
  <si>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</si>
  <si>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</si>
  <si>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</si>
  <si>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</si>
  <si>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</si>
  <si>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 xml:space="preserve">Esquadrias de Madeira </t>
  </si>
  <si>
    <t>Esquadrias de Ferro</t>
  </si>
  <si>
    <t>Mureta de divisa</t>
  </si>
  <si>
    <t>LIBERAÇÂO DA  O.I.S</t>
  </si>
  <si>
    <t>Tax.adm,fer,trein.</t>
  </si>
  <si>
    <t>Soleiras e Peitoris</t>
  </si>
  <si>
    <t>Muro de arrimo</t>
  </si>
  <si>
    <t>Urbanismo</t>
  </si>
  <si>
    <t xml:space="preserve">TIPO:  TI 33B-03 ( 2D ) </t>
  </si>
  <si>
    <t>OBRA: CONJUNTO HABITACIONAL  ITAJOBI " F"</t>
  </si>
  <si>
    <t>NUMERO DE UNIDADES:  141</t>
  </si>
  <si>
    <t>CONTRATADA: PREFEITURA MUNICIPAL DE ITAJOBI</t>
  </si>
  <si>
    <t>DATA BASE:       MAIO / 2013</t>
  </si>
  <si>
    <t>B. INFRAESTRUTURA</t>
  </si>
  <si>
    <t>Paisagismo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</si>
</sst>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000"/>
    <numFmt numFmtId="185" formatCode="#,##0.0"/>
    <numFmt numFmtId="186" formatCode="#,##0.000"/>
    <numFmt numFmtId="187" formatCode="#,##0.0000"/>
    <numFmt numFmtId="188" formatCode="#,##0.00000"/>
    <numFmt numFmtId="189" formatCode="00000"/>
    <numFmt numFmtId="190" formatCode="mmmm\-yy"/>
    <numFmt numFmtId="191" formatCode="mm/yy"/>
    <numFmt numFmtId="192" formatCode="mm/yyyy"/>
    <numFmt numFmtId="193" formatCode="mmm/yyyy"/>
    <numFmt numFmtId="194" formatCode="mmmm/yyyy"/>
    <numFmt numFmtId="195" formatCode="0.000%"/>
    <numFmt numFmtId="196" formatCode="[$-416]dddd\,\ d&quot; de &quot;mmmm&quot; de &quot;yyyy"/>
    <numFmt numFmtId="197" formatCode="[$-416]mmmm\-yy;@"/>
  </numFmts>
  <fonts count="44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1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b/>
      <sz val="12"/>
      <name val="Monospac821 BT"/>
      <family val="3"/>
    </font>
    <font>
      <b/>
      <sz val="8.5"/>
      <name val="MS Sans Serif"/>
      <family val="2"/>
    </font>
    <font>
      <b/>
      <sz val="11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2" fillId="0" borderId="0" xfId="48" applyFont="1">
      <alignment/>
      <protection/>
    </xf>
    <xf numFmtId="0" fontId="1" fillId="0" borderId="0" xfId="48">
      <alignment/>
      <protection/>
    </xf>
    <xf numFmtId="0" fontId="3" fillId="0" borderId="0" xfId="48" applyFont="1" applyBorder="1">
      <alignment/>
      <protection/>
    </xf>
    <xf numFmtId="0" fontId="1" fillId="0" borderId="0" xfId="48" applyBorder="1">
      <alignment/>
      <protection/>
    </xf>
    <xf numFmtId="0" fontId="1" fillId="0" borderId="10" xfId="48" applyBorder="1">
      <alignment/>
      <protection/>
    </xf>
    <xf numFmtId="0" fontId="1" fillId="0" borderId="11" xfId="48" applyBorder="1">
      <alignment/>
      <protection/>
    </xf>
    <xf numFmtId="0" fontId="4" fillId="0" borderId="12" xfId="48" applyFont="1" applyBorder="1">
      <alignment/>
      <protection/>
    </xf>
    <xf numFmtId="0" fontId="2" fillId="0" borderId="13" xfId="48" applyFont="1" applyBorder="1">
      <alignment/>
      <protection/>
    </xf>
    <xf numFmtId="0" fontId="4" fillId="0" borderId="14" xfId="48" applyFont="1" applyBorder="1">
      <alignment/>
      <protection/>
    </xf>
    <xf numFmtId="0" fontId="2" fillId="0" borderId="15" xfId="48" applyFont="1" applyBorder="1">
      <alignment/>
      <protection/>
    </xf>
    <xf numFmtId="4" fontId="1" fillId="0" borderId="16" xfId="48" applyNumberFormat="1" applyBorder="1" applyAlignment="1">
      <alignment horizontal="right"/>
      <protection/>
    </xf>
    <xf numFmtId="4" fontId="1" fillId="0" borderId="0" xfId="48" applyNumberFormat="1" applyBorder="1" applyAlignment="1">
      <alignment horizontal="right"/>
      <protection/>
    </xf>
    <xf numFmtId="3" fontId="6" fillId="0" borderId="0" xfId="48" applyNumberFormat="1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4" fontId="1" fillId="33" borderId="0" xfId="48" applyNumberFormat="1" applyFont="1" applyFill="1" applyBorder="1" applyAlignment="1">
      <alignment horizontal="right"/>
      <protection/>
    </xf>
    <xf numFmtId="0" fontId="1" fillId="33" borderId="0" xfId="48" applyFill="1" applyBorder="1">
      <alignment/>
      <protection/>
    </xf>
    <xf numFmtId="0" fontId="1" fillId="33" borderId="0" xfId="48" applyFill="1">
      <alignment/>
      <protection/>
    </xf>
    <xf numFmtId="4" fontId="1" fillId="33" borderId="0" xfId="48" applyNumberFormat="1" applyFill="1" applyBorder="1">
      <alignment/>
      <protection/>
    </xf>
    <xf numFmtId="0" fontId="1" fillId="33" borderId="17" xfId="48" applyFill="1" applyBorder="1">
      <alignment/>
      <protection/>
    </xf>
    <xf numFmtId="4" fontId="1" fillId="33" borderId="18" xfId="48" applyNumberForma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2" fillId="0" borderId="0" xfId="48" applyFont="1">
      <alignment/>
      <protection/>
    </xf>
    <xf numFmtId="0" fontId="2" fillId="0" borderId="19" xfId="48" applyFont="1" applyBorder="1">
      <alignment/>
      <protection/>
    </xf>
    <xf numFmtId="0" fontId="2" fillId="0" borderId="17" xfId="48" applyFont="1" applyBorder="1">
      <alignment/>
      <protection/>
    </xf>
    <xf numFmtId="197" fontId="3" fillId="0" borderId="0" xfId="48" applyNumberFormat="1" applyFont="1" applyBorder="1">
      <alignment/>
      <protection/>
    </xf>
    <xf numFmtId="197" fontId="3" fillId="0" borderId="0" xfId="48" applyNumberFormat="1" applyFont="1" applyBorder="1" applyAlignment="1">
      <alignment horizontal="center"/>
      <protection/>
    </xf>
    <xf numFmtId="0" fontId="1" fillId="0" borderId="11" xfId="48" applyFont="1" applyBorder="1" applyAlignment="1">
      <alignment horizontal="center"/>
      <protection/>
    </xf>
    <xf numFmtId="0" fontId="5" fillId="33" borderId="0" xfId="48" applyFont="1" applyFill="1" applyBorder="1">
      <alignment/>
      <protection/>
    </xf>
    <xf numFmtId="17" fontId="1" fillId="33" borderId="0" xfId="48" applyNumberFormat="1" applyFont="1" applyFill="1" applyBorder="1" applyAlignment="1">
      <alignment horizontal="center"/>
      <protection/>
    </xf>
    <xf numFmtId="4" fontId="1" fillId="33" borderId="0" xfId="48" applyNumberFormat="1" applyFill="1" applyBorder="1" applyAlignment="1">
      <alignment horizontal="right"/>
      <protection/>
    </xf>
    <xf numFmtId="0" fontId="4" fillId="0" borderId="0" xfId="48" applyFont="1" applyBorder="1">
      <alignment/>
      <protection/>
    </xf>
    <xf numFmtId="4" fontId="2" fillId="0" borderId="0" xfId="48" applyNumberFormat="1" applyFont="1" applyBorder="1" applyAlignment="1">
      <alignment horizontal="left"/>
      <protection/>
    </xf>
    <xf numFmtId="4" fontId="1" fillId="33" borderId="0" xfId="48" applyNumberFormat="1" applyFont="1" applyFill="1" applyBorder="1" applyAlignment="1">
      <alignment horizontal="right"/>
      <protection/>
    </xf>
    <xf numFmtId="0" fontId="1" fillId="0" borderId="19" xfId="48" applyBorder="1">
      <alignment/>
      <protection/>
    </xf>
    <xf numFmtId="0" fontId="3" fillId="33" borderId="0" xfId="48" applyFont="1" applyFill="1" applyBorder="1">
      <alignment/>
      <protection/>
    </xf>
    <xf numFmtId="0" fontId="1" fillId="33" borderId="10" xfId="48" applyFill="1" applyBorder="1">
      <alignment/>
      <protection/>
    </xf>
    <xf numFmtId="0" fontId="1" fillId="33" borderId="11" xfId="48" applyFill="1" applyBorder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20" xfId="48" applyFont="1" applyFill="1" applyBorder="1">
      <alignment/>
      <protection/>
    </xf>
    <xf numFmtId="0" fontId="5" fillId="33" borderId="21" xfId="48" applyFont="1" applyFill="1" applyBorder="1">
      <alignment/>
      <protection/>
    </xf>
    <xf numFmtId="2" fontId="5" fillId="33" borderId="0" xfId="48" applyNumberFormat="1" applyFont="1" applyFill="1" applyBorder="1" applyAlignment="1">
      <alignment horizontal="center"/>
      <protection/>
    </xf>
    <xf numFmtId="0" fontId="5" fillId="33" borderId="22" xfId="48" applyFont="1" applyFill="1" applyBorder="1" applyAlignment="1">
      <alignment horizontal="left"/>
      <protection/>
    </xf>
    <xf numFmtId="2" fontId="5" fillId="33" borderId="23" xfId="48" applyNumberFormat="1" applyFont="1" applyFill="1" applyBorder="1" applyAlignment="1">
      <alignment horizontal="center"/>
      <protection/>
    </xf>
    <xf numFmtId="0" fontId="1" fillId="33" borderId="20" xfId="48" applyFill="1" applyBorder="1">
      <alignment/>
      <protection/>
    </xf>
    <xf numFmtId="0" fontId="7" fillId="33" borderId="22" xfId="48" applyFont="1" applyFill="1" applyBorder="1" applyAlignment="1">
      <alignment horizontal="left"/>
      <protection/>
    </xf>
    <xf numFmtId="0" fontId="7" fillId="33" borderId="23" xfId="48" applyFont="1" applyFill="1" applyBorder="1" applyAlignment="1">
      <alignment horizontal="left"/>
      <protection/>
    </xf>
    <xf numFmtId="2" fontId="7" fillId="33" borderId="23" xfId="48" applyNumberFormat="1" applyFont="1" applyFill="1" applyBorder="1" applyAlignment="1">
      <alignment horizontal="center"/>
      <protection/>
    </xf>
    <xf numFmtId="0" fontId="4" fillId="33" borderId="12" xfId="48" applyFont="1" applyFill="1" applyBorder="1">
      <alignment/>
      <protection/>
    </xf>
    <xf numFmtId="0" fontId="2" fillId="33" borderId="13" xfId="48" applyFont="1" applyFill="1" applyBorder="1">
      <alignment/>
      <protection/>
    </xf>
    <xf numFmtId="0" fontId="2" fillId="33" borderId="19" xfId="48" applyFont="1" applyFill="1" applyBorder="1">
      <alignment/>
      <protection/>
    </xf>
    <xf numFmtId="0" fontId="4" fillId="33" borderId="14" xfId="48" applyFont="1" applyFill="1" applyBorder="1">
      <alignment/>
      <protection/>
    </xf>
    <xf numFmtId="0" fontId="2" fillId="33" borderId="15" xfId="48" applyFont="1" applyFill="1" applyBorder="1">
      <alignment/>
      <protection/>
    </xf>
    <xf numFmtId="0" fontId="2" fillId="33" borderId="17" xfId="48" applyFont="1" applyFill="1" applyBorder="1">
      <alignment/>
      <protection/>
    </xf>
    <xf numFmtId="4" fontId="1" fillId="33" borderId="16" xfId="48" applyNumberFormat="1" applyFill="1" applyBorder="1" applyAlignment="1">
      <alignment horizontal="right"/>
      <protection/>
    </xf>
    <xf numFmtId="0" fontId="2" fillId="33" borderId="0" xfId="48" applyFont="1" applyFill="1" applyBorder="1">
      <alignment/>
      <protection/>
    </xf>
    <xf numFmtId="2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>
      <alignment/>
      <protection/>
    </xf>
    <xf numFmtId="0" fontId="2" fillId="33" borderId="0" xfId="48" applyFont="1" applyFill="1">
      <alignment/>
      <protection/>
    </xf>
    <xf numFmtId="4" fontId="1" fillId="33" borderId="24" xfId="48" applyNumberFormat="1" applyFont="1" applyFill="1" applyBorder="1" applyAlignment="1">
      <alignment horizontal="center"/>
      <protection/>
    </xf>
    <xf numFmtId="4" fontId="1" fillId="33" borderId="25" xfId="48" applyNumberFormat="1" applyFont="1" applyFill="1" applyBorder="1" applyAlignment="1">
      <alignment horizontal="center"/>
      <protection/>
    </xf>
    <xf numFmtId="4" fontId="2" fillId="33" borderId="26" xfId="48" applyNumberFormat="1" applyFont="1" applyFill="1" applyBorder="1" applyAlignment="1">
      <alignment horizontal="left"/>
      <protection/>
    </xf>
    <xf numFmtId="4" fontId="2" fillId="33" borderId="27" xfId="48" applyNumberFormat="1" applyFont="1" applyFill="1" applyBorder="1" applyAlignment="1">
      <alignment horizontal="left"/>
      <protection/>
    </xf>
    <xf numFmtId="0" fontId="1" fillId="0" borderId="24" xfId="48" applyBorder="1">
      <alignment/>
      <protection/>
    </xf>
    <xf numFmtId="0" fontId="5" fillId="0" borderId="24" xfId="48" applyFont="1" applyBorder="1">
      <alignment/>
      <protection/>
    </xf>
    <xf numFmtId="0" fontId="5" fillId="33" borderId="24" xfId="48" applyFont="1" applyFill="1" applyBorder="1">
      <alignment/>
      <protection/>
    </xf>
    <xf numFmtId="2" fontId="5" fillId="0" borderId="24" xfId="48" applyNumberFormat="1" applyFont="1" applyBorder="1" applyAlignment="1">
      <alignment horizontal="center"/>
      <protection/>
    </xf>
    <xf numFmtId="4" fontId="1" fillId="0" borderId="24" xfId="48" applyNumberFormat="1" applyFont="1" applyBorder="1" applyAlignment="1">
      <alignment horizontal="center"/>
      <protection/>
    </xf>
    <xf numFmtId="0" fontId="1" fillId="0" borderId="25" xfId="48" applyBorder="1">
      <alignment/>
      <protection/>
    </xf>
    <xf numFmtId="0" fontId="5" fillId="0" borderId="25" xfId="48" applyFont="1" applyBorder="1" applyAlignment="1">
      <alignment horizontal="left"/>
      <protection/>
    </xf>
    <xf numFmtId="0" fontId="5" fillId="0" borderId="25" xfId="48" applyFont="1" applyBorder="1">
      <alignment/>
      <protection/>
    </xf>
    <xf numFmtId="0" fontId="5" fillId="33" borderId="25" xfId="48" applyFont="1" applyFill="1" applyBorder="1">
      <alignment/>
      <protection/>
    </xf>
    <xf numFmtId="2" fontId="5" fillId="0" borderId="25" xfId="48" applyNumberFormat="1" applyFont="1" applyBorder="1" applyAlignment="1">
      <alignment horizontal="center"/>
      <protection/>
    </xf>
    <xf numFmtId="4" fontId="1" fillId="0" borderId="25" xfId="48" applyNumberFormat="1" applyFont="1" applyBorder="1" applyAlignment="1">
      <alignment horizontal="center"/>
      <protection/>
    </xf>
    <xf numFmtId="4" fontId="1" fillId="0" borderId="25" xfId="48" applyNumberFormat="1" applyBorder="1" applyAlignment="1">
      <alignment horizontal="center"/>
      <protection/>
    </xf>
    <xf numFmtId="0" fontId="7" fillId="0" borderId="25" xfId="48" applyFont="1" applyBorder="1" applyAlignment="1">
      <alignment horizontal="left"/>
      <protection/>
    </xf>
    <xf numFmtId="2" fontId="7" fillId="0" borderId="25" xfId="48" applyNumberFormat="1" applyFont="1" applyBorder="1" applyAlignment="1">
      <alignment horizontal="center"/>
      <protection/>
    </xf>
    <xf numFmtId="4" fontId="1" fillId="33" borderId="25" xfId="48" applyNumberFormat="1" applyFill="1" applyBorder="1" applyAlignment="1">
      <alignment horizontal="center"/>
      <protection/>
    </xf>
    <xf numFmtId="4" fontId="2" fillId="0" borderId="26" xfId="48" applyNumberFormat="1" applyFont="1" applyBorder="1" applyAlignment="1">
      <alignment horizontal="left"/>
      <protection/>
    </xf>
    <xf numFmtId="4" fontId="2" fillId="0" borderId="27" xfId="48" applyNumberFormat="1" applyFont="1" applyBorder="1" applyAlignment="1">
      <alignment horizontal="left"/>
      <protection/>
    </xf>
    <xf numFmtId="4" fontId="1" fillId="0" borderId="28" xfId="48" applyNumberFormat="1" applyBorder="1" applyAlignment="1">
      <alignment horizontal="right"/>
      <protection/>
    </xf>
    <xf numFmtId="0" fontId="1" fillId="0" borderId="17" xfId="48" applyBorder="1">
      <alignment/>
      <protection/>
    </xf>
    <xf numFmtId="4" fontId="1" fillId="33" borderId="17" xfId="48" applyNumberFormat="1" applyFill="1" applyBorder="1">
      <alignment/>
      <protection/>
    </xf>
    <xf numFmtId="0" fontId="7" fillId="0" borderId="29" xfId="48" applyFont="1" applyBorder="1" applyAlignment="1">
      <alignment horizontal="left"/>
      <protection/>
    </xf>
    <xf numFmtId="2" fontId="7" fillId="0" borderId="29" xfId="48" applyNumberFormat="1" applyFont="1" applyBorder="1" applyAlignment="1">
      <alignment horizontal="center"/>
      <protection/>
    </xf>
    <xf numFmtId="4" fontId="1" fillId="33" borderId="17" xfId="48" applyNumberFormat="1" applyFill="1" applyBorder="1" applyAlignment="1">
      <alignment horizontal="right"/>
      <protection/>
    </xf>
    <xf numFmtId="4" fontId="1" fillId="33" borderId="25" xfId="48" applyNumberFormat="1" applyFont="1" applyFill="1" applyBorder="1" applyAlignment="1">
      <alignment/>
      <protection/>
    </xf>
    <xf numFmtId="4" fontId="1" fillId="33" borderId="25" xfId="48" applyNumberFormat="1" applyFont="1" applyFill="1" applyBorder="1" applyAlignment="1">
      <alignment horizontal="center"/>
      <protection/>
    </xf>
    <xf numFmtId="39" fontId="1" fillId="33" borderId="25" xfId="48" applyNumberFormat="1" applyFont="1" applyFill="1" applyBorder="1" applyAlignment="1">
      <alignment horizontal="center"/>
      <protection/>
    </xf>
    <xf numFmtId="4" fontId="1" fillId="33" borderId="30" xfId="48" applyNumberFormat="1" applyFill="1" applyBorder="1" applyAlignment="1">
      <alignment horizontal="center"/>
      <protection/>
    </xf>
    <xf numFmtId="4" fontId="1" fillId="33" borderId="0" xfId="48" applyNumberFormat="1" applyFill="1" applyBorder="1" applyAlignment="1">
      <alignment horizontal="center"/>
      <protection/>
    </xf>
    <xf numFmtId="0" fontId="1" fillId="33" borderId="0" xfId="48" applyFill="1" applyBorder="1" applyAlignment="1">
      <alignment horizontal="center"/>
      <protection/>
    </xf>
    <xf numFmtId="4" fontId="1" fillId="33" borderId="24" xfId="48" applyNumberFormat="1" applyFont="1" applyFill="1" applyBorder="1" applyAlignment="1">
      <alignment horizontal="center"/>
      <protection/>
    </xf>
    <xf numFmtId="4" fontId="1" fillId="33" borderId="24" xfId="48" applyNumberFormat="1" applyFill="1" applyBorder="1" applyAlignment="1">
      <alignment horizontal="center"/>
      <protection/>
    </xf>
    <xf numFmtId="4" fontId="1" fillId="33" borderId="19" xfId="48" applyNumberFormat="1" applyFill="1" applyBorder="1" applyAlignment="1">
      <alignment horizontal="center"/>
      <protection/>
    </xf>
    <xf numFmtId="0" fontId="1" fillId="33" borderId="19" xfId="48" applyFill="1" applyBorder="1" applyAlignment="1">
      <alignment horizontal="center"/>
      <protection/>
    </xf>
    <xf numFmtId="4" fontId="1" fillId="33" borderId="0" xfId="48" applyNumberFormat="1" applyFont="1" applyFill="1" applyBorder="1" applyAlignment="1">
      <alignment horizontal="center"/>
      <protection/>
    </xf>
    <xf numFmtId="0" fontId="4" fillId="33" borderId="0" xfId="48" applyFont="1" applyFill="1" applyBorder="1">
      <alignment/>
      <protection/>
    </xf>
    <xf numFmtId="4" fontId="2" fillId="33" borderId="0" xfId="48" applyNumberFormat="1" applyFont="1" applyFill="1" applyBorder="1" applyAlignment="1">
      <alignment horizontal="left"/>
      <protection/>
    </xf>
    <xf numFmtId="4" fontId="1" fillId="33" borderId="30" xfId="48" applyNumberFormat="1" applyFont="1" applyFill="1" applyBorder="1" applyAlignment="1">
      <alignment horizontal="center"/>
      <protection/>
    </xf>
    <xf numFmtId="0" fontId="1" fillId="0" borderId="14" xfId="48" applyBorder="1">
      <alignment/>
      <protection/>
    </xf>
    <xf numFmtId="0" fontId="2" fillId="33" borderId="10" xfId="48" applyFont="1" applyFill="1" applyBorder="1">
      <alignment/>
      <protection/>
    </xf>
    <xf numFmtId="0" fontId="2" fillId="0" borderId="10" xfId="48" applyFont="1" applyBorder="1">
      <alignment/>
      <protection/>
    </xf>
    <xf numFmtId="0" fontId="2" fillId="0" borderId="10" xfId="48" applyFont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0" fontId="2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 applyAlignment="1">
      <alignment horizontal="center"/>
      <protection/>
    </xf>
    <xf numFmtId="0" fontId="2" fillId="33" borderId="10" xfId="48" applyFont="1" applyFill="1" applyBorder="1" applyAlignment="1">
      <alignment horizontal="center"/>
      <protection/>
    </xf>
    <xf numFmtId="0" fontId="4" fillId="33" borderId="31" xfId="48" applyFont="1" applyFill="1" applyBorder="1" applyAlignment="1">
      <alignment horizontal="center"/>
      <protection/>
    </xf>
    <xf numFmtId="0" fontId="4" fillId="33" borderId="32" xfId="48" applyFont="1" applyFill="1" applyBorder="1" applyAlignment="1">
      <alignment horizontal="center"/>
      <protection/>
    </xf>
    <xf numFmtId="0" fontId="4" fillId="33" borderId="31" xfId="48" applyFont="1" applyFill="1" applyBorder="1" applyAlignment="1">
      <alignment horizontal="center"/>
      <protection/>
    </xf>
    <xf numFmtId="0" fontId="4" fillId="33" borderId="16" xfId="48" applyFont="1" applyFill="1" applyBorder="1" applyAlignment="1">
      <alignment horizontal="center"/>
      <protection/>
    </xf>
    <xf numFmtId="0" fontId="4" fillId="33" borderId="32" xfId="48" applyFont="1" applyFill="1" applyBorder="1" applyAlignment="1">
      <alignment horizontal="center"/>
      <protection/>
    </xf>
    <xf numFmtId="4" fontId="7" fillId="0" borderId="25" xfId="48" applyNumberFormat="1" applyFont="1" applyBorder="1" applyAlignment="1">
      <alignment horizontal="center"/>
      <protection/>
    </xf>
    <xf numFmtId="4" fontId="7" fillId="0" borderId="29" xfId="48" applyNumberFormat="1" applyFont="1" applyBorder="1" applyAlignment="1">
      <alignment horizontal="center"/>
      <protection/>
    </xf>
    <xf numFmtId="0" fontId="4" fillId="33" borderId="0" xfId="48" applyFont="1" applyFill="1" applyBorder="1" applyAlignment="1">
      <alignment horizontal="center"/>
      <protection/>
    </xf>
    <xf numFmtId="4" fontId="1" fillId="33" borderId="0" xfId="48" applyNumberFormat="1" applyFont="1" applyFill="1" applyBorder="1" applyAlignment="1">
      <alignment horizontal="center"/>
      <protection/>
    </xf>
    <xf numFmtId="39" fontId="1" fillId="33" borderId="0" xfId="48" applyNumberFormat="1" applyFont="1" applyFill="1" applyBorder="1" applyAlignment="1">
      <alignment horizontal="center"/>
      <protection/>
    </xf>
    <xf numFmtId="187" fontId="1" fillId="33" borderId="0" xfId="48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1" fillId="33" borderId="0" xfId="48" applyNumberFormat="1" applyFont="1" applyFill="1" applyBorder="1" applyAlignment="1">
      <alignment/>
      <protection/>
    </xf>
    <xf numFmtId="187" fontId="1" fillId="33" borderId="0" xfId="48" applyNumberFormat="1" applyFont="1" applyFill="1" applyBorder="1" applyAlignment="1">
      <alignment horizontal="right"/>
      <protection/>
    </xf>
    <xf numFmtId="0" fontId="1" fillId="0" borderId="25" xfId="48" applyFont="1" applyBorder="1">
      <alignment/>
      <protection/>
    </xf>
    <xf numFmtId="0" fontId="1" fillId="0" borderId="0" xfId="48" applyFont="1" applyBorder="1">
      <alignment/>
      <protection/>
    </xf>
    <xf numFmtId="4" fontId="1" fillId="33" borderId="25" xfId="48" applyNumberFormat="1" applyFont="1" applyFill="1" applyBorder="1" applyAlignment="1">
      <alignment horizontal="centerContinuous"/>
      <protection/>
    </xf>
    <xf numFmtId="0" fontId="4" fillId="33" borderId="33" xfId="48" applyFont="1" applyFill="1" applyBorder="1" applyAlignment="1">
      <alignment horizontal="center"/>
      <protection/>
    </xf>
    <xf numFmtId="4" fontId="1" fillId="33" borderId="26" xfId="48" applyNumberFormat="1" applyFill="1" applyBorder="1" applyAlignment="1">
      <alignment horizontal="center"/>
      <protection/>
    </xf>
    <xf numFmtId="4" fontId="1" fillId="33" borderId="34" xfId="48" applyNumberFormat="1" applyFont="1" applyFill="1" applyBorder="1" applyAlignment="1">
      <alignment horizontal="centerContinuous"/>
      <protection/>
    </xf>
    <xf numFmtId="4" fontId="1" fillId="33" borderId="35" xfId="48" applyNumberFormat="1" applyFont="1" applyFill="1" applyBorder="1" applyAlignment="1">
      <alignment horizontal="center"/>
      <protection/>
    </xf>
    <xf numFmtId="39" fontId="1" fillId="33" borderId="35" xfId="48" applyNumberFormat="1" applyFont="1" applyFill="1" applyBorder="1" applyAlignment="1">
      <alignment horizontal="center"/>
      <protection/>
    </xf>
    <xf numFmtId="4" fontId="1" fillId="33" borderId="35" xfId="48" applyNumberFormat="1" applyFont="1" applyFill="1" applyBorder="1" applyAlignment="1">
      <alignment horizontal="centerContinuous"/>
      <protection/>
    </xf>
    <xf numFmtId="39" fontId="1" fillId="33" borderId="35" xfId="48" applyNumberFormat="1" applyFont="1" applyFill="1" applyBorder="1" applyAlignment="1">
      <alignment horizontal="centerContinuous"/>
      <protection/>
    </xf>
    <xf numFmtId="4" fontId="1" fillId="33" borderId="36" xfId="48" applyNumberFormat="1" applyFont="1" applyFill="1" applyBorder="1" applyAlignment="1">
      <alignment horizontal="center"/>
      <protection/>
    </xf>
    <xf numFmtId="0" fontId="7" fillId="0" borderId="35" xfId="48" applyFont="1" applyBorder="1" applyAlignment="1">
      <alignment horizontal="left"/>
      <protection/>
    </xf>
    <xf numFmtId="2" fontId="7" fillId="0" borderId="35" xfId="48" applyNumberFormat="1" applyFont="1" applyBorder="1" applyAlignment="1">
      <alignment horizontal="center"/>
      <protection/>
    </xf>
    <xf numFmtId="4" fontId="7" fillId="0" borderId="35" xfId="48" applyNumberFormat="1" applyFont="1" applyBorder="1" applyAlignment="1">
      <alignment horizontal="center"/>
      <protection/>
    </xf>
    <xf numFmtId="4" fontId="1" fillId="0" borderId="35" xfId="48" applyNumberFormat="1" applyFont="1" applyBorder="1" applyAlignment="1">
      <alignment horizontal="center"/>
      <protection/>
    </xf>
    <xf numFmtId="0" fontId="1" fillId="0" borderId="37" xfId="48" applyBorder="1">
      <alignment/>
      <protection/>
    </xf>
    <xf numFmtId="0" fontId="7" fillId="0" borderId="37" xfId="48" applyFont="1" applyBorder="1" applyAlignment="1">
      <alignment horizontal="left"/>
      <protection/>
    </xf>
    <xf numFmtId="2" fontId="7" fillId="0" borderId="37" xfId="48" applyNumberFormat="1" applyFont="1" applyBorder="1" applyAlignment="1">
      <alignment horizontal="center"/>
      <protection/>
    </xf>
    <xf numFmtId="4" fontId="7" fillId="0" borderId="37" xfId="48" applyNumberFormat="1" applyFont="1" applyBorder="1" applyAlignment="1">
      <alignment horizontal="center"/>
      <protection/>
    </xf>
    <xf numFmtId="4" fontId="1" fillId="33" borderId="37" xfId="48" applyNumberFormat="1" applyFill="1" applyBorder="1" applyAlignment="1">
      <alignment horizontal="center"/>
      <protection/>
    </xf>
    <xf numFmtId="4" fontId="1" fillId="33" borderId="37" xfId="48" applyNumberFormat="1" applyFont="1" applyFill="1" applyBorder="1" applyAlignment="1">
      <alignment horizontal="center"/>
      <protection/>
    </xf>
    <xf numFmtId="39" fontId="1" fillId="33" borderId="37" xfId="48" applyNumberFormat="1" applyFont="1" applyFill="1" applyBorder="1" applyAlignment="1">
      <alignment horizontal="center"/>
      <protection/>
    </xf>
    <xf numFmtId="0" fontId="7" fillId="0" borderId="38" xfId="48" applyFont="1" applyBorder="1" applyAlignment="1">
      <alignment horizontal="left"/>
      <protection/>
    </xf>
    <xf numFmtId="2" fontId="7" fillId="0" borderId="38" xfId="48" applyNumberFormat="1" applyFont="1" applyBorder="1" applyAlignment="1">
      <alignment horizontal="center"/>
      <protection/>
    </xf>
    <xf numFmtId="4" fontId="7" fillId="0" borderId="38" xfId="48" applyNumberFormat="1" applyFont="1" applyBorder="1" applyAlignment="1">
      <alignment horizontal="center"/>
      <protection/>
    </xf>
    <xf numFmtId="4" fontId="1" fillId="0" borderId="38" xfId="48" applyNumberFormat="1" applyFont="1" applyBorder="1" applyAlignment="1">
      <alignment horizontal="center"/>
      <protection/>
    </xf>
    <xf numFmtId="4" fontId="1" fillId="33" borderId="38" xfId="48" applyNumberFormat="1" applyFill="1" applyBorder="1" applyAlignment="1">
      <alignment horizontal="center"/>
      <protection/>
    </xf>
    <xf numFmtId="39" fontId="1" fillId="33" borderId="38" xfId="48" applyNumberFormat="1" applyFont="1" applyFill="1" applyBorder="1" applyAlignment="1">
      <alignment horizontal="center"/>
      <protection/>
    </xf>
    <xf numFmtId="4" fontId="1" fillId="33" borderId="38" xfId="48" applyNumberFormat="1" applyFont="1" applyFill="1" applyBorder="1" applyAlignment="1">
      <alignment horizontal="center" vertical="center"/>
      <protection/>
    </xf>
    <xf numFmtId="4" fontId="1" fillId="33" borderId="38" xfId="48" applyNumberFormat="1" applyFont="1" applyFill="1" applyBorder="1" applyAlignment="1">
      <alignment horizontal="center"/>
      <protection/>
    </xf>
    <xf numFmtId="0" fontId="4" fillId="33" borderId="19" xfId="48" applyFont="1" applyFill="1" applyBorder="1">
      <alignment/>
      <protection/>
    </xf>
    <xf numFmtId="4" fontId="2" fillId="33" borderId="19" xfId="48" applyNumberFormat="1" applyFont="1" applyFill="1" applyBorder="1" applyAlignment="1">
      <alignment horizontal="left"/>
      <protection/>
    </xf>
    <xf numFmtId="4" fontId="1" fillId="33" borderId="19" xfId="48" applyNumberFormat="1" applyFill="1" applyBorder="1" applyAlignment="1">
      <alignment horizontal="right"/>
      <protection/>
    </xf>
    <xf numFmtId="4" fontId="1" fillId="33" borderId="19" xfId="48" applyNumberFormat="1" applyFont="1" applyFill="1" applyBorder="1" applyAlignment="1">
      <alignment horizontal="center"/>
      <protection/>
    </xf>
    <xf numFmtId="0" fontId="4" fillId="33" borderId="17" xfId="48" applyFont="1" applyFill="1" applyBorder="1">
      <alignment/>
      <protection/>
    </xf>
    <xf numFmtId="4" fontId="2" fillId="33" borderId="17" xfId="48" applyNumberFormat="1" applyFont="1" applyFill="1" applyBorder="1" applyAlignment="1">
      <alignment horizontal="left"/>
      <protection/>
    </xf>
    <xf numFmtId="4" fontId="1" fillId="33" borderId="17" xfId="48" applyNumberFormat="1" applyFont="1" applyFill="1" applyBorder="1" applyAlignment="1">
      <alignment horizontal="center"/>
      <protection/>
    </xf>
    <xf numFmtId="4" fontId="1" fillId="33" borderId="39" xfId="48" applyNumberFormat="1" applyFill="1" applyBorder="1" applyAlignment="1">
      <alignment horizontal="center"/>
      <protection/>
    </xf>
    <xf numFmtId="4" fontId="1" fillId="33" borderId="39" xfId="48" applyNumberFormat="1" applyFont="1" applyFill="1" applyBorder="1" applyAlignment="1">
      <alignment horizontal="center"/>
      <protection/>
    </xf>
    <xf numFmtId="0" fontId="5" fillId="0" borderId="19" xfId="48" applyFont="1" applyBorder="1" applyAlignment="1">
      <alignment horizontal="left"/>
      <protection/>
    </xf>
    <xf numFmtId="2" fontId="5" fillId="0" borderId="19" xfId="48" applyNumberFormat="1" applyFont="1" applyBorder="1" applyAlignment="1">
      <alignment horizontal="center"/>
      <protection/>
    </xf>
    <xf numFmtId="4" fontId="1" fillId="0" borderId="19" xfId="48" applyNumberFormat="1" applyBorder="1" applyAlignment="1">
      <alignment horizontal="center"/>
      <protection/>
    </xf>
    <xf numFmtId="4" fontId="1" fillId="0" borderId="19" xfId="48" applyNumberFormat="1" applyFont="1" applyBorder="1" applyAlignment="1">
      <alignment horizontal="center"/>
      <protection/>
    </xf>
    <xf numFmtId="4" fontId="1" fillId="33" borderId="19" xfId="48" applyNumberFormat="1" applyFont="1" applyFill="1" applyBorder="1" applyAlignment="1">
      <alignment horizontal="center"/>
      <protection/>
    </xf>
    <xf numFmtId="0" fontId="7" fillId="0" borderId="40" xfId="48" applyFont="1" applyBorder="1" applyAlignment="1">
      <alignment horizontal="left"/>
      <protection/>
    </xf>
    <xf numFmtId="0" fontId="1" fillId="33" borderId="41" xfId="48" applyFill="1" applyBorder="1">
      <alignment/>
      <protection/>
    </xf>
    <xf numFmtId="0" fontId="7" fillId="33" borderId="42" xfId="48" applyFont="1" applyFill="1" applyBorder="1" applyAlignment="1">
      <alignment horizontal="left"/>
      <protection/>
    </xf>
    <xf numFmtId="0" fontId="7" fillId="33" borderId="43" xfId="48" applyFont="1" applyFill="1" applyBorder="1" applyAlignment="1">
      <alignment horizontal="left"/>
      <protection/>
    </xf>
    <xf numFmtId="2" fontId="7" fillId="33" borderId="43" xfId="48" applyNumberFormat="1" applyFont="1" applyFill="1" applyBorder="1" applyAlignment="1">
      <alignment horizontal="center"/>
      <protection/>
    </xf>
    <xf numFmtId="0" fontId="1" fillId="33" borderId="39" xfId="48" applyFill="1" applyBorder="1">
      <alignment/>
      <protection/>
    </xf>
    <xf numFmtId="0" fontId="7" fillId="33" borderId="39" xfId="48" applyFont="1" applyFill="1" applyBorder="1" applyAlignment="1">
      <alignment horizontal="left"/>
      <protection/>
    </xf>
    <xf numFmtId="2" fontId="7" fillId="33" borderId="39" xfId="48" applyNumberFormat="1" applyFont="1" applyFill="1" applyBorder="1" applyAlignment="1">
      <alignment horizontal="center"/>
      <protection/>
    </xf>
    <xf numFmtId="4" fontId="1" fillId="33" borderId="39" xfId="48" applyNumberFormat="1" applyFont="1" applyFill="1" applyBorder="1" applyAlignment="1">
      <alignment horizontal="right"/>
      <protection/>
    </xf>
    <xf numFmtId="4" fontId="1" fillId="33" borderId="39" xfId="48" applyNumberFormat="1" applyFill="1" applyBorder="1" applyAlignment="1">
      <alignment horizontal="right"/>
      <protection/>
    </xf>
    <xf numFmtId="187" fontId="1" fillId="33" borderId="39" xfId="48" applyNumberFormat="1" applyFont="1" applyFill="1" applyBorder="1" applyAlignment="1">
      <alignment horizontal="right"/>
      <protection/>
    </xf>
    <xf numFmtId="0" fontId="4" fillId="33" borderId="44" xfId="48" applyFont="1" applyFill="1" applyBorder="1" applyAlignment="1">
      <alignment horizontal="center"/>
      <protection/>
    </xf>
    <xf numFmtId="4" fontId="1" fillId="33" borderId="29" xfId="48" applyNumberFormat="1" applyFont="1" applyFill="1" applyBorder="1" applyAlignment="1">
      <alignment horizontal="center"/>
      <protection/>
    </xf>
    <xf numFmtId="4" fontId="1" fillId="33" borderId="45" xfId="48" applyNumberFormat="1" applyFont="1" applyFill="1" applyBorder="1" applyAlignment="1">
      <alignment horizontal="center"/>
      <protection/>
    </xf>
    <xf numFmtId="39" fontId="1" fillId="33" borderId="45" xfId="48" applyNumberFormat="1" applyFont="1" applyFill="1" applyBorder="1" applyAlignment="1">
      <alignment horizontal="center"/>
      <protection/>
    </xf>
    <xf numFmtId="39" fontId="1" fillId="33" borderId="19" xfId="48" applyNumberFormat="1" applyFont="1" applyFill="1" applyBorder="1" applyAlignment="1">
      <alignment horizontal="center"/>
      <protection/>
    </xf>
    <xf numFmtId="0" fontId="5" fillId="0" borderId="37" xfId="48" applyFont="1" applyBorder="1" applyAlignment="1">
      <alignment horizontal="left"/>
      <protection/>
    </xf>
    <xf numFmtId="0" fontId="5" fillId="0" borderId="37" xfId="48" applyFont="1" applyBorder="1">
      <alignment/>
      <protection/>
    </xf>
    <xf numFmtId="2" fontId="5" fillId="0" borderId="37" xfId="48" applyNumberFormat="1" applyFont="1" applyBorder="1" applyAlignment="1">
      <alignment horizontal="center"/>
      <protection/>
    </xf>
    <xf numFmtId="4" fontId="1" fillId="0" borderId="46" xfId="48" applyNumberFormat="1" applyFont="1" applyBorder="1" applyAlignment="1">
      <alignment horizontal="center"/>
      <protection/>
    </xf>
    <xf numFmtId="0" fontId="1" fillId="0" borderId="34" xfId="48" applyFont="1" applyBorder="1">
      <alignment/>
      <protection/>
    </xf>
    <xf numFmtId="4" fontId="2" fillId="33" borderId="0" xfId="48" applyNumberFormat="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5" fillId="0" borderId="35" xfId="48" applyFont="1" applyBorder="1">
      <alignment/>
      <protection/>
    </xf>
    <xf numFmtId="0" fontId="5" fillId="33" borderId="35" xfId="48" applyFont="1" applyFill="1" applyBorder="1">
      <alignment/>
      <protection/>
    </xf>
    <xf numFmtId="2" fontId="5" fillId="0" borderId="35" xfId="48" applyNumberFormat="1" applyFont="1" applyBorder="1" applyAlignment="1">
      <alignment horizontal="center"/>
      <protection/>
    </xf>
    <xf numFmtId="4" fontId="1" fillId="33" borderId="35" xfId="48" applyNumberFormat="1" applyFont="1" applyFill="1" applyBorder="1" applyAlignment="1">
      <alignment/>
      <protection/>
    </xf>
    <xf numFmtId="39" fontId="1" fillId="33" borderId="47" xfId="48" applyNumberFormat="1" applyFont="1" applyFill="1" applyBorder="1" applyAlignment="1">
      <alignment horizontal="center"/>
      <protection/>
    </xf>
    <xf numFmtId="4" fontId="2" fillId="33" borderId="29" xfId="48" applyNumberFormat="1" applyFont="1" applyFill="1" applyBorder="1" applyAlignment="1">
      <alignment horizontal="center"/>
      <protection/>
    </xf>
    <xf numFmtId="4" fontId="2" fillId="33" borderId="27" xfId="48" applyNumberFormat="1" applyFont="1" applyFill="1" applyBorder="1" applyAlignment="1">
      <alignment horizontal="center"/>
      <protection/>
    </xf>
    <xf numFmtId="4" fontId="2" fillId="0" borderId="35" xfId="48" applyNumberFormat="1" applyFont="1" applyBorder="1" applyAlignment="1">
      <alignment horizontal="center"/>
      <protection/>
    </xf>
    <xf numFmtId="4" fontId="2" fillId="33" borderId="35" xfId="48" applyNumberFormat="1" applyFont="1" applyFill="1" applyBorder="1" applyAlignment="1">
      <alignment horizontal="center"/>
      <protection/>
    </xf>
    <xf numFmtId="4" fontId="2" fillId="0" borderId="29" xfId="48" applyNumberFormat="1" applyFont="1" applyBorder="1" applyAlignment="1">
      <alignment horizontal="center"/>
      <protection/>
    </xf>
    <xf numFmtId="4" fontId="2" fillId="33" borderId="25" xfId="48" applyNumberFormat="1" applyFont="1" applyFill="1" applyBorder="1" applyAlignment="1">
      <alignment horizontal="center"/>
      <protection/>
    </xf>
    <xf numFmtId="39" fontId="2" fillId="33" borderId="25" xfId="48" applyNumberFormat="1" applyFont="1" applyFill="1" applyBorder="1" applyAlignment="1">
      <alignment horizontal="center"/>
      <protection/>
    </xf>
    <xf numFmtId="4" fontId="2" fillId="33" borderId="25" xfId="48" applyNumberFormat="1" applyFont="1" applyFill="1" applyBorder="1" applyAlignment="1">
      <alignment horizontal="centerContinuous"/>
      <protection/>
    </xf>
    <xf numFmtId="4" fontId="2" fillId="33" borderId="34" xfId="48" applyNumberFormat="1" applyFont="1" applyFill="1" applyBorder="1" applyAlignment="1">
      <alignment horizontal="center"/>
      <protection/>
    </xf>
    <xf numFmtId="17" fontId="2" fillId="33" borderId="0" xfId="48" applyNumberFormat="1" applyFont="1" applyFill="1">
      <alignment/>
      <protection/>
    </xf>
    <xf numFmtId="17" fontId="2" fillId="33" borderId="0" xfId="48" applyNumberFormat="1" applyFont="1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4" fontId="2" fillId="33" borderId="0" xfId="48" applyNumberFormat="1" applyFont="1" applyFill="1" applyBorder="1" applyAlignment="1">
      <alignment horizontal="right"/>
      <protection/>
    </xf>
    <xf numFmtId="0" fontId="1" fillId="33" borderId="0" xfId="48" applyFill="1" applyAlignment="1">
      <alignment horizontal="center"/>
      <protection/>
    </xf>
    <xf numFmtId="4" fontId="1" fillId="33" borderId="47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4" fontId="1" fillId="33" borderId="26" xfId="48" applyNumberFormat="1" applyFont="1" applyFill="1" applyBorder="1" applyAlignment="1">
      <alignment horizontal="center"/>
      <protection/>
    </xf>
    <xf numFmtId="4" fontId="1" fillId="33" borderId="18" xfId="48" applyNumberFormat="1" applyFont="1" applyFill="1" applyBorder="1" applyAlignment="1">
      <alignment horizontal="center"/>
      <protection/>
    </xf>
    <xf numFmtId="0" fontId="4" fillId="33" borderId="41" xfId="48" applyFont="1" applyFill="1" applyBorder="1" applyAlignment="1">
      <alignment horizontal="center"/>
      <protection/>
    </xf>
    <xf numFmtId="0" fontId="4" fillId="33" borderId="38" xfId="48" applyFont="1" applyFill="1" applyBorder="1" applyAlignment="1">
      <alignment horizontal="center"/>
      <protection/>
    </xf>
    <xf numFmtId="4" fontId="1" fillId="33" borderId="34" xfId="48" applyNumberFormat="1" applyFont="1" applyFill="1" applyBorder="1" applyAlignment="1">
      <alignment horizontal="center"/>
      <protection/>
    </xf>
    <xf numFmtId="4" fontId="1" fillId="33" borderId="46" xfId="48" applyNumberFormat="1" applyFont="1" applyFill="1" applyBorder="1" applyAlignment="1">
      <alignment horizontal="center"/>
      <protection/>
    </xf>
    <xf numFmtId="4" fontId="1" fillId="33" borderId="29" xfId="48" applyNumberFormat="1" applyFill="1" applyBorder="1" applyAlignment="1">
      <alignment horizontal="center"/>
      <protection/>
    </xf>
    <xf numFmtId="4" fontId="1" fillId="33" borderId="26" xfId="48" applyNumberFormat="1" applyFont="1" applyFill="1" applyBorder="1" applyAlignment="1">
      <alignment horizontal="centerContinuous"/>
      <protection/>
    </xf>
    <xf numFmtId="4" fontId="1" fillId="33" borderId="34" xfId="48" applyNumberFormat="1" applyFont="1" applyFill="1" applyBorder="1" applyAlignment="1">
      <alignment/>
      <protection/>
    </xf>
    <xf numFmtId="4" fontId="8" fillId="33" borderId="34" xfId="48" applyNumberFormat="1" applyFont="1" applyFill="1" applyBorder="1" applyAlignment="1">
      <alignment/>
      <protection/>
    </xf>
    <xf numFmtId="4" fontId="8" fillId="33" borderId="36" xfId="48" applyNumberFormat="1" applyFont="1" applyFill="1" applyBorder="1" applyAlignment="1">
      <alignment/>
      <protection/>
    </xf>
    <xf numFmtId="0" fontId="4" fillId="33" borderId="48" xfId="48" applyFont="1" applyFill="1" applyBorder="1" applyAlignment="1">
      <alignment horizontal="center"/>
      <protection/>
    </xf>
    <xf numFmtId="4" fontId="1" fillId="33" borderId="17" xfId="48" applyNumberFormat="1" applyFont="1" applyFill="1" applyBorder="1" applyAlignment="1">
      <alignment horizontal="right"/>
      <protection/>
    </xf>
    <xf numFmtId="4" fontId="1" fillId="33" borderId="46" xfId="48" applyNumberFormat="1" applyFont="1" applyFill="1" applyBorder="1" applyAlignment="1">
      <alignment horizontal="centerContinuous"/>
      <protection/>
    </xf>
    <xf numFmtId="0" fontId="4" fillId="33" borderId="41" xfId="48" applyFont="1" applyFill="1" applyBorder="1" applyAlignment="1">
      <alignment horizontal="center"/>
      <protection/>
    </xf>
    <xf numFmtId="0" fontId="4" fillId="33" borderId="40" xfId="48" applyFont="1" applyFill="1" applyBorder="1" applyAlignment="1">
      <alignment horizontal="center"/>
      <protection/>
    </xf>
    <xf numFmtId="39" fontId="1" fillId="33" borderId="29" xfId="48" applyNumberFormat="1" applyFont="1" applyFill="1" applyBorder="1" applyAlignment="1">
      <alignment horizontal="center"/>
      <protection/>
    </xf>
    <xf numFmtId="0" fontId="7" fillId="0" borderId="11" xfId="48" applyFont="1" applyBorder="1" applyAlignment="1">
      <alignment horizontal="left"/>
      <protection/>
    </xf>
    <xf numFmtId="0" fontId="5" fillId="0" borderId="18" xfId="48" applyFont="1" applyBorder="1">
      <alignment/>
      <protection/>
    </xf>
    <xf numFmtId="0" fontId="5" fillId="0" borderId="46" xfId="48" applyFont="1" applyBorder="1" applyAlignment="1">
      <alignment horizontal="left"/>
      <protection/>
    </xf>
    <xf numFmtId="0" fontId="5" fillId="0" borderId="40" xfId="48" applyFont="1" applyBorder="1" applyAlignment="1">
      <alignment horizontal="left"/>
      <protection/>
    </xf>
    <xf numFmtId="0" fontId="1" fillId="0" borderId="48" xfId="48" applyBorder="1">
      <alignment/>
      <protection/>
    </xf>
    <xf numFmtId="0" fontId="9" fillId="33" borderId="0" xfId="48" applyFont="1" applyFill="1" applyBorder="1">
      <alignment/>
      <protection/>
    </xf>
    <xf numFmtId="4" fontId="1" fillId="33" borderId="49" xfId="48" applyNumberFormat="1" applyFont="1" applyFill="1" applyBorder="1" applyAlignment="1">
      <alignment horizontal="center"/>
      <protection/>
    </xf>
    <xf numFmtId="4" fontId="1" fillId="33" borderId="27" xfId="48" applyNumberFormat="1" applyFont="1" applyFill="1" applyBorder="1" applyAlignment="1">
      <alignment horizontal="center"/>
      <protection/>
    </xf>
    <xf numFmtId="4" fontId="1" fillId="33" borderId="37" xfId="48" applyNumberFormat="1" applyFill="1" applyBorder="1" applyAlignment="1">
      <alignment/>
      <protection/>
    </xf>
    <xf numFmtId="4" fontId="1" fillId="33" borderId="37" xfId="48" applyNumberFormat="1" applyFont="1" applyFill="1" applyBorder="1" applyAlignment="1">
      <alignment/>
      <protection/>
    </xf>
    <xf numFmtId="4" fontId="2" fillId="33" borderId="37" xfId="48" applyNumberFormat="1" applyFont="1" applyFill="1" applyBorder="1" applyAlignment="1">
      <alignment horizontal="center"/>
      <protection/>
    </xf>
    <xf numFmtId="4" fontId="1" fillId="33" borderId="32" xfId="48" applyNumberFormat="1" applyFill="1" applyBorder="1" applyAlignment="1">
      <alignment horizontal="center"/>
      <protection/>
    </xf>
    <xf numFmtId="4" fontId="2" fillId="33" borderId="46" xfId="48" applyNumberFormat="1" applyFont="1" applyFill="1" applyBorder="1" applyAlignment="1">
      <alignment horizontal="centerContinuous"/>
      <protection/>
    </xf>
    <xf numFmtId="187" fontId="1" fillId="33" borderId="17" xfId="48" applyNumberFormat="1" applyFont="1" applyFill="1" applyBorder="1" applyAlignment="1">
      <alignment horizontal="right"/>
      <protection/>
    </xf>
    <xf numFmtId="4" fontId="1" fillId="33" borderId="49" xfId="48" applyNumberFormat="1" applyFont="1" applyFill="1" applyBorder="1" applyAlignment="1">
      <alignment horizontal="centerContinuous"/>
      <protection/>
    </xf>
    <xf numFmtId="4" fontId="1" fillId="33" borderId="37" xfId="48" applyNumberFormat="1" applyFont="1" applyFill="1" applyBorder="1" applyAlignment="1">
      <alignment horizontal="centerContinuous"/>
      <protection/>
    </xf>
    <xf numFmtId="4" fontId="2" fillId="33" borderId="37" xfId="48" applyNumberFormat="1" applyFont="1" applyFill="1" applyBorder="1" applyAlignment="1">
      <alignment horizontal="centerContinuous"/>
      <protection/>
    </xf>
    <xf numFmtId="4" fontId="1" fillId="33" borderId="32" xfId="48" applyNumberFormat="1" applyFont="1" applyFill="1" applyBorder="1" applyAlignment="1">
      <alignment horizontal="centerContinuous"/>
      <protection/>
    </xf>
    <xf numFmtId="4" fontId="1" fillId="33" borderId="40" xfId="48" applyNumberFormat="1" applyFont="1" applyFill="1" applyBorder="1" applyAlignment="1">
      <alignment horizontal="centerContinuous"/>
      <protection/>
    </xf>
    <xf numFmtId="4" fontId="1" fillId="33" borderId="38" xfId="48" applyNumberFormat="1" applyFont="1" applyFill="1" applyBorder="1" applyAlignment="1">
      <alignment horizontal="centerContinuous"/>
      <protection/>
    </xf>
    <xf numFmtId="0" fontId="3" fillId="0" borderId="0" xfId="48" applyFont="1" applyBorder="1">
      <alignment/>
      <protection/>
    </xf>
    <xf numFmtId="0" fontId="0" fillId="33" borderId="0" xfId="0" applyFill="1" applyBorder="1" applyAlignment="1">
      <alignment/>
    </xf>
    <xf numFmtId="17" fontId="2" fillId="33" borderId="26" xfId="48" applyNumberFormat="1" applyFont="1" applyFill="1" applyBorder="1" applyAlignment="1">
      <alignment horizontal="center"/>
      <protection/>
    </xf>
    <xf numFmtId="0" fontId="2" fillId="33" borderId="18" xfId="48" applyNumberFormat="1" applyFont="1" applyFill="1" applyBorder="1" applyAlignment="1">
      <alignment horizontal="center"/>
      <protection/>
    </xf>
    <xf numFmtId="17" fontId="2" fillId="33" borderId="49" xfId="48" applyNumberFormat="1" applyFont="1" applyFill="1" applyBorder="1" applyAlignment="1">
      <alignment horizontal="center"/>
      <protection/>
    </xf>
    <xf numFmtId="17" fontId="1" fillId="33" borderId="0" xfId="48" applyNumberFormat="1" applyFont="1" applyFill="1" applyBorder="1" applyAlignment="1">
      <alignment horizontal="center"/>
      <protection/>
    </xf>
    <xf numFmtId="0" fontId="2" fillId="33" borderId="49" xfId="48" applyNumberFormat="1" applyFont="1" applyFill="1" applyBorder="1" applyAlignment="1">
      <alignment horizontal="center"/>
      <protection/>
    </xf>
    <xf numFmtId="17" fontId="2" fillId="33" borderId="18" xfId="48" applyNumberFormat="1" applyFont="1" applyFill="1" applyBorder="1" applyAlignment="1">
      <alignment horizontal="center"/>
      <protection/>
    </xf>
    <xf numFmtId="0" fontId="2" fillId="33" borderId="26" xfId="48" applyFont="1" applyFill="1" applyBorder="1" applyAlignment="1">
      <alignment horizontal="center"/>
      <protection/>
    </xf>
    <xf numFmtId="0" fontId="2" fillId="33" borderId="18" xfId="48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ITIRAB12-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7"/>
  <sheetViews>
    <sheetView tabSelected="1" zoomScale="75" zoomScaleNormal="75" zoomScalePageLayoutView="0" workbookViewId="0" topLeftCell="BA75">
      <selection activeCell="A1" sqref="A1"/>
    </sheetView>
  </sheetViews>
  <sheetFormatPr defaultColWidth="9.140625" defaultRowHeight="12.75"/>
  <cols>
    <col min="1" max="1" width="9.57421875" style="0" bestFit="1" customWidth="1"/>
    <col min="2" max="2" width="24.7109375" style="0" customWidth="1"/>
    <col min="3" max="3" width="6.28125" style="0" hidden="1" customWidth="1"/>
    <col min="4" max="4" width="8.7109375" style="0" hidden="1" customWidth="1"/>
    <col min="5" max="5" width="10.140625" style="0" hidden="1" customWidth="1"/>
    <col min="6" max="6" width="18.421875" style="0" customWidth="1"/>
    <col min="7" max="8" width="15.7109375" style="0" customWidth="1"/>
    <col min="9" max="9" width="14.140625" style="0" customWidth="1"/>
    <col min="10" max="10" width="10.7109375" style="0" customWidth="1"/>
    <col min="11" max="11" width="15.7109375" style="0" customWidth="1"/>
    <col min="12" max="12" width="10.7109375" style="0" customWidth="1"/>
    <col min="13" max="13" width="14.28125" style="0" customWidth="1"/>
    <col min="14" max="14" width="13.421875" style="0" customWidth="1"/>
    <col min="15" max="15" width="15.7109375" style="0" customWidth="1"/>
    <col min="16" max="16" width="10.7109375" style="0" customWidth="1"/>
    <col min="17" max="17" width="15.7109375" style="0" bestFit="1" customWidth="1"/>
    <col min="18" max="18" width="13.8515625" style="0" customWidth="1"/>
    <col min="19" max="19" width="15.421875" style="0" bestFit="1" customWidth="1"/>
    <col min="20" max="20" width="13.8515625" style="0" customWidth="1"/>
    <col min="21" max="21" width="15.7109375" style="0" bestFit="1" customWidth="1"/>
    <col min="22" max="22" width="13.8515625" style="0" customWidth="1"/>
    <col min="23" max="23" width="15.7109375" style="0" bestFit="1" customWidth="1"/>
    <col min="24" max="24" width="13.8515625" style="0" customWidth="1"/>
    <col min="25" max="25" width="15.7109375" style="0" bestFit="1" customWidth="1"/>
    <col min="26" max="26" width="13.8515625" style="0" customWidth="1"/>
    <col min="27" max="27" width="15.7109375" style="0" bestFit="1" customWidth="1"/>
    <col min="28" max="28" width="13.8515625" style="0" customWidth="1"/>
    <col min="29" max="29" width="15.7109375" style="0" bestFit="1" customWidth="1"/>
    <col min="30" max="30" width="13.8515625" style="0" customWidth="1"/>
    <col min="31" max="31" width="16.140625" style="0" bestFit="1" customWidth="1"/>
    <col min="32" max="32" width="10.7109375" style="0" customWidth="1"/>
    <col min="33" max="33" width="15.7109375" style="0" customWidth="1"/>
    <col min="34" max="34" width="10.7109375" style="0" customWidth="1"/>
    <col min="35" max="35" width="16.140625" style="0" bestFit="1" customWidth="1"/>
    <col min="36" max="36" width="10.7109375" style="0" customWidth="1"/>
    <col min="37" max="37" width="18.140625" style="0" customWidth="1"/>
    <col min="38" max="38" width="10.7109375" style="0" customWidth="1"/>
    <col min="39" max="39" width="16.7109375" style="0" bestFit="1" customWidth="1"/>
    <col min="40" max="40" width="10.7109375" style="0" customWidth="1"/>
    <col min="41" max="41" width="16.421875" style="0" customWidth="1"/>
    <col min="42" max="42" width="10.7109375" style="0" customWidth="1"/>
    <col min="43" max="43" width="16.7109375" style="0" bestFit="1" customWidth="1"/>
    <col min="44" max="44" width="11.7109375" style="0" customWidth="1"/>
    <col min="45" max="45" width="16.7109375" style="0" customWidth="1"/>
    <col min="46" max="46" width="11.7109375" style="0" customWidth="1"/>
    <col min="47" max="47" width="16.7109375" style="0" customWidth="1"/>
    <col min="48" max="48" width="11.7109375" style="0" customWidth="1"/>
    <col min="49" max="49" width="16.7109375" style="0" customWidth="1"/>
    <col min="50" max="50" width="11.7109375" style="0" customWidth="1"/>
    <col min="51" max="51" width="16.7109375" style="0" customWidth="1"/>
    <col min="52" max="52" width="11.8515625" style="0" customWidth="1"/>
    <col min="53" max="53" width="16.7109375" style="0" bestFit="1" customWidth="1"/>
    <col min="54" max="54" width="10.7109375" style="0" customWidth="1"/>
    <col min="55" max="55" width="16.7109375" style="0" bestFit="1" customWidth="1"/>
    <col min="56" max="57" width="16.7109375" style="0" customWidth="1"/>
    <col min="58" max="58" width="10.7109375" style="0" customWidth="1"/>
    <col min="59" max="59" width="15.7109375" style="0" customWidth="1"/>
    <col min="60" max="60" width="10.7109375" style="0" customWidth="1"/>
    <col min="61" max="61" width="14.8515625" style="0" customWidth="1"/>
    <col min="62" max="62" width="10.7109375" style="0" customWidth="1"/>
    <col min="63" max="63" width="15.140625" style="0" customWidth="1"/>
    <col min="64" max="64" width="10.7109375" style="0" customWidth="1"/>
    <col min="65" max="65" width="14.00390625" style="0" customWidth="1"/>
  </cols>
  <sheetData>
    <row r="1" spans="1:64" s="2" customFormat="1" ht="12.75">
      <c r="A1" s="1" t="s">
        <v>20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2" customFormat="1" ht="12.75">
      <c r="A2" s="22" t="s">
        <v>22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" customFormat="1" ht="15">
      <c r="A3" s="3" t="s">
        <v>82</v>
      </c>
      <c r="B3" s="3"/>
      <c r="C3" s="3"/>
      <c r="D3" s="3"/>
      <c r="E3" s="3"/>
      <c r="F3" s="4"/>
      <c r="G3" s="4"/>
      <c r="H3" s="16"/>
      <c r="I3" s="57"/>
      <c r="J3" s="5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s="2" customFormat="1" ht="16.5">
      <c r="A4" s="3" t="s">
        <v>83</v>
      </c>
      <c r="B4" s="3"/>
      <c r="C4" s="3"/>
      <c r="D4" s="3"/>
      <c r="E4" s="3"/>
      <c r="F4" s="13"/>
      <c r="G4" s="4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64" s="2" customFormat="1" ht="15">
      <c r="A5" s="3" t="s">
        <v>84</v>
      </c>
      <c r="B5" s="3"/>
      <c r="C5" s="3"/>
      <c r="D5" s="3"/>
      <c r="E5" s="3"/>
      <c r="F5" s="4"/>
      <c r="G5" s="4"/>
      <c r="H5" s="16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4" s="2" customFormat="1" ht="15">
      <c r="A6" s="3" t="s">
        <v>81</v>
      </c>
      <c r="B6" s="3"/>
      <c r="C6" s="3"/>
      <c r="D6" s="3"/>
      <c r="E6" s="3"/>
      <c r="F6" s="4"/>
      <c r="G6" s="4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4" s="2" customFormat="1" ht="15">
      <c r="A7" s="247" t="s">
        <v>85</v>
      </c>
      <c r="B7" s="3"/>
      <c r="C7" s="3"/>
      <c r="D7" s="3"/>
      <c r="E7" s="25"/>
      <c r="F7" s="26"/>
      <c r="G7" s="4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52"/>
      <c r="AK7" s="252"/>
      <c r="AL7" s="17"/>
      <c r="AM7" s="17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 s="2" customFormat="1" ht="15">
      <c r="A8" s="3"/>
      <c r="B8" s="3"/>
      <c r="C8" s="3"/>
      <c r="D8" s="3"/>
      <c r="E8" s="25"/>
      <c r="F8" s="26"/>
      <c r="G8" s="4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9"/>
      <c r="AK8" s="29"/>
      <c r="AL8" s="17"/>
      <c r="AM8" s="17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1:64" s="2" customFormat="1" ht="15">
      <c r="A9" s="3" t="s">
        <v>29</v>
      </c>
      <c r="B9" s="3"/>
      <c r="C9" s="3"/>
      <c r="D9" s="3"/>
      <c r="E9" s="25"/>
      <c r="F9" s="26"/>
      <c r="G9" s="123" t="s">
        <v>37</v>
      </c>
      <c r="H9" s="16"/>
      <c r="I9" s="203"/>
      <c r="J9" s="58"/>
      <c r="K9" s="204"/>
      <c r="L9" s="204"/>
      <c r="M9" s="204"/>
      <c r="N9" s="205"/>
      <c r="O9" s="204"/>
      <c r="P9" s="205"/>
      <c r="Q9" s="204"/>
      <c r="R9" s="205"/>
      <c r="S9" s="204"/>
      <c r="T9" s="205"/>
      <c r="U9" s="204"/>
      <c r="V9" s="205"/>
      <c r="W9" s="204"/>
      <c r="X9" s="205"/>
      <c r="Y9" s="20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9"/>
      <c r="AK9" s="29"/>
      <c r="AL9" s="17"/>
      <c r="AM9" s="17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2:64" s="2" customFormat="1" ht="15.75" thickBot="1">
      <c r="B10" s="3"/>
      <c r="C10" s="3"/>
      <c r="D10" s="3"/>
      <c r="E10" s="3"/>
      <c r="H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5" s="2" customFormat="1" ht="13.5" thickBot="1">
      <c r="A11" s="102" t="s">
        <v>0</v>
      </c>
      <c r="B11" s="102" t="s">
        <v>1</v>
      </c>
      <c r="C11" s="5"/>
      <c r="D11" s="5"/>
      <c r="E11" s="5"/>
      <c r="F11" s="103" t="s">
        <v>2</v>
      </c>
      <c r="G11" s="103" t="s">
        <v>3</v>
      </c>
      <c r="H11" s="255" t="s">
        <v>76</v>
      </c>
      <c r="I11" s="256"/>
      <c r="J11" s="249" t="s">
        <v>49</v>
      </c>
      <c r="K11" s="250"/>
      <c r="L11" s="249" t="s">
        <v>50</v>
      </c>
      <c r="M11" s="250"/>
      <c r="N11" s="249" t="s">
        <v>51</v>
      </c>
      <c r="O11" s="250"/>
      <c r="P11" s="249" t="s">
        <v>52</v>
      </c>
      <c r="Q11" s="250"/>
      <c r="R11" s="249" t="s">
        <v>53</v>
      </c>
      <c r="S11" s="250"/>
      <c r="T11" s="249" t="s">
        <v>54</v>
      </c>
      <c r="U11" s="250"/>
      <c r="V11" s="249" t="s">
        <v>55</v>
      </c>
      <c r="W11" s="250"/>
      <c r="X11" s="249" t="s">
        <v>56</v>
      </c>
      <c r="Y11" s="250"/>
      <c r="Z11" s="249" t="s">
        <v>57</v>
      </c>
      <c r="AA11" s="250"/>
      <c r="AB11" s="249" t="s">
        <v>58</v>
      </c>
      <c r="AC11" s="250"/>
      <c r="AD11" s="249" t="s">
        <v>59</v>
      </c>
      <c r="AE11" s="250"/>
      <c r="AF11" s="249" t="s">
        <v>60</v>
      </c>
      <c r="AG11" s="250"/>
      <c r="AH11" s="249" t="s">
        <v>61</v>
      </c>
      <c r="AI11" s="250"/>
      <c r="AJ11" s="249" t="s">
        <v>62</v>
      </c>
      <c r="AK11" s="250"/>
      <c r="AL11" s="249" t="s">
        <v>63</v>
      </c>
      <c r="AM11" s="250"/>
      <c r="AN11" s="249" t="s">
        <v>64</v>
      </c>
      <c r="AO11" s="250"/>
      <c r="AP11" s="249" t="s">
        <v>65</v>
      </c>
      <c r="AQ11" s="253"/>
      <c r="AR11" s="249" t="s">
        <v>66</v>
      </c>
      <c r="AS11" s="250"/>
      <c r="AT11" s="251" t="s">
        <v>67</v>
      </c>
      <c r="AU11" s="250"/>
      <c r="AV11" s="249" t="s">
        <v>68</v>
      </c>
      <c r="AW11" s="250"/>
      <c r="AX11" s="251" t="s">
        <v>69</v>
      </c>
      <c r="AY11" s="250"/>
      <c r="AZ11" s="249" t="s">
        <v>70</v>
      </c>
      <c r="BA11" s="250"/>
      <c r="BB11" s="249" t="s">
        <v>71</v>
      </c>
      <c r="BC11" s="253"/>
      <c r="BD11" s="249" t="s">
        <v>72</v>
      </c>
      <c r="BE11" s="254"/>
      <c r="BF11" s="257"/>
      <c r="BG11" s="257"/>
      <c r="BH11" s="257"/>
      <c r="BI11" s="257"/>
      <c r="BJ11" s="257"/>
      <c r="BK11" s="257"/>
      <c r="BL11" s="209"/>
      <c r="BM11" s="209"/>
    </row>
    <row r="12" spans="1:65" s="2" customFormat="1" ht="13.5" thickBot="1">
      <c r="A12" s="6"/>
      <c r="B12" s="6"/>
      <c r="C12" s="6"/>
      <c r="D12" s="27" t="s">
        <v>28</v>
      </c>
      <c r="E12" s="6"/>
      <c r="F12" s="104" t="s">
        <v>4</v>
      </c>
      <c r="G12" s="104" t="s">
        <v>5</v>
      </c>
      <c r="H12" s="108" t="s">
        <v>5</v>
      </c>
      <c r="I12" s="109" t="s">
        <v>6</v>
      </c>
      <c r="J12" s="110" t="s">
        <v>5</v>
      </c>
      <c r="K12" s="111" t="s">
        <v>6</v>
      </c>
      <c r="L12" s="110" t="s">
        <v>5</v>
      </c>
      <c r="M12" s="111" t="s">
        <v>6</v>
      </c>
      <c r="N12" s="110" t="s">
        <v>5</v>
      </c>
      <c r="O12" s="111" t="s">
        <v>6</v>
      </c>
      <c r="P12" s="110" t="s">
        <v>5</v>
      </c>
      <c r="Q12" s="111" t="s">
        <v>6</v>
      </c>
      <c r="R12" s="110" t="s">
        <v>5</v>
      </c>
      <c r="S12" s="111" t="s">
        <v>6</v>
      </c>
      <c r="T12" s="110" t="s">
        <v>5</v>
      </c>
      <c r="U12" s="111" t="s">
        <v>6</v>
      </c>
      <c r="V12" s="110" t="s">
        <v>5</v>
      </c>
      <c r="W12" s="111" t="s">
        <v>6</v>
      </c>
      <c r="X12" s="110" t="s">
        <v>5</v>
      </c>
      <c r="Y12" s="111" t="s">
        <v>6</v>
      </c>
      <c r="Z12" s="110" t="s">
        <v>5</v>
      </c>
      <c r="AA12" s="111" t="s">
        <v>6</v>
      </c>
      <c r="AB12" s="110" t="s">
        <v>5</v>
      </c>
      <c r="AC12" s="111" t="s">
        <v>6</v>
      </c>
      <c r="AD12" s="110" t="s">
        <v>5</v>
      </c>
      <c r="AE12" s="111" t="s">
        <v>6</v>
      </c>
      <c r="AF12" s="110" t="s">
        <v>5</v>
      </c>
      <c r="AG12" s="112" t="s">
        <v>6</v>
      </c>
      <c r="AH12" s="110" t="s">
        <v>5</v>
      </c>
      <c r="AI12" s="112" t="s">
        <v>6</v>
      </c>
      <c r="AJ12" s="110" t="s">
        <v>5</v>
      </c>
      <c r="AK12" s="125" t="s">
        <v>6</v>
      </c>
      <c r="AL12" s="110" t="s">
        <v>5</v>
      </c>
      <c r="AM12" s="111" t="s">
        <v>6</v>
      </c>
      <c r="AN12" s="110" t="s">
        <v>5</v>
      </c>
      <c r="AO12" s="112" t="s">
        <v>6</v>
      </c>
      <c r="AP12" s="110" t="s">
        <v>5</v>
      </c>
      <c r="AQ12" s="112" t="s">
        <v>6</v>
      </c>
      <c r="AR12" s="110" t="s">
        <v>5</v>
      </c>
      <c r="AS12" s="111" t="s">
        <v>6</v>
      </c>
      <c r="AT12" s="110" t="s">
        <v>5</v>
      </c>
      <c r="AU12" s="111" t="s">
        <v>6</v>
      </c>
      <c r="AV12" s="110" t="s">
        <v>5</v>
      </c>
      <c r="AW12" s="111" t="s">
        <v>6</v>
      </c>
      <c r="AX12" s="110" t="s">
        <v>5</v>
      </c>
      <c r="AY12" s="112" t="s">
        <v>6</v>
      </c>
      <c r="AZ12" s="110" t="s">
        <v>5</v>
      </c>
      <c r="BA12" s="177" t="s">
        <v>6</v>
      </c>
      <c r="BB12" s="110" t="s">
        <v>5</v>
      </c>
      <c r="BC12" s="112" t="s">
        <v>6</v>
      </c>
      <c r="BD12" s="110" t="s">
        <v>5</v>
      </c>
      <c r="BE12" s="111" t="s">
        <v>6</v>
      </c>
      <c r="BF12" s="115"/>
      <c r="BG12" s="115"/>
      <c r="BH12" s="115"/>
      <c r="BI12" s="115"/>
      <c r="BJ12" s="115"/>
      <c r="BK12" s="115"/>
      <c r="BL12" s="115"/>
      <c r="BM12" s="115"/>
    </row>
    <row r="13" spans="1:65" s="2" customFormat="1" ht="12.75">
      <c r="A13" s="63">
        <v>1</v>
      </c>
      <c r="B13" s="64" t="s">
        <v>7</v>
      </c>
      <c r="C13" s="64">
        <v>51</v>
      </c>
      <c r="D13" s="65">
        <f>F13/9</f>
        <v>27837.316666666666</v>
      </c>
      <c r="E13" s="66">
        <v>60.03</v>
      </c>
      <c r="F13" s="67">
        <f>1776.85*141</f>
        <v>250535.84999999998</v>
      </c>
      <c r="G13" s="67">
        <f aca="true" t="shared" si="0" ref="G13:G27">ROUND((F13/$F$30)*100,2)</f>
        <v>2.45</v>
      </c>
      <c r="H13" s="99">
        <f aca="true" t="shared" si="1" ref="H13:H28">ROUND((I13/$F$30)*100,2)</f>
        <v>0</v>
      </c>
      <c r="I13" s="67">
        <v>0</v>
      </c>
      <c r="J13" s="59">
        <v>0.15</v>
      </c>
      <c r="K13" s="60">
        <f>ROUND((J13/100)*$F$30,2)-367.18</f>
        <v>14994.23</v>
      </c>
      <c r="L13" s="59">
        <v>0.1</v>
      </c>
      <c r="M13" s="60">
        <f aca="true" t="shared" si="2" ref="M13:M28">ROUND((L13/100)*$F$30,2)</f>
        <v>10240.94</v>
      </c>
      <c r="N13" s="59">
        <v>0.1</v>
      </c>
      <c r="O13" s="60">
        <f aca="true" t="shared" si="3" ref="O13:O28">ROUND((N13/100)*$F$30,2)</f>
        <v>10240.94</v>
      </c>
      <c r="P13" s="59">
        <v>0.1</v>
      </c>
      <c r="Q13" s="60">
        <f aca="true" t="shared" si="4" ref="Q13:Q28">ROUND((P13/100)*$F$30,2)</f>
        <v>10240.94</v>
      </c>
      <c r="R13" s="99">
        <v>0.1</v>
      </c>
      <c r="S13" s="60">
        <f aca="true" t="shared" si="5" ref="S13:S28">ROUND((R13/100)*$F$30,2)</f>
        <v>10240.94</v>
      </c>
      <c r="T13" s="99">
        <v>0.1</v>
      </c>
      <c r="U13" s="60">
        <f aca="true" t="shared" si="6" ref="U13:U28">ROUND((T13/100)*$F$30,2)</f>
        <v>10240.94</v>
      </c>
      <c r="V13" s="99">
        <v>0.1</v>
      </c>
      <c r="W13" s="60">
        <f>ROUND((V13/100)*$F$30,2)</f>
        <v>10240.94</v>
      </c>
      <c r="X13" s="99">
        <v>0.1</v>
      </c>
      <c r="Y13" s="60">
        <f aca="true" t="shared" si="7" ref="Y13:Y28">ROUND((X13/100)*$F$30,2)</f>
        <v>10240.94</v>
      </c>
      <c r="Z13" s="99">
        <v>0.1</v>
      </c>
      <c r="AA13" s="60">
        <f aca="true" t="shared" si="8" ref="AA13:AA28">ROUND((Z13/100)*$F$30,2)</f>
        <v>10240.94</v>
      </c>
      <c r="AB13" s="99">
        <v>0.1</v>
      </c>
      <c r="AC13" s="60">
        <f aca="true" t="shared" si="9" ref="AC13:AC28">ROUND((AB13/100)*$F$30,2)</f>
        <v>10240.94</v>
      </c>
      <c r="AD13" s="99">
        <v>0.1</v>
      </c>
      <c r="AE13" s="60">
        <f aca="true" t="shared" si="10" ref="AE13:AE28">ROUND((AD13/100)*$F$30,2)</f>
        <v>10240.94</v>
      </c>
      <c r="AF13" s="59">
        <v>0.1</v>
      </c>
      <c r="AG13" s="60">
        <f aca="true" t="shared" si="11" ref="AG13:AG28">ROUND((AF13/100)*$F$30,2)</f>
        <v>10240.94</v>
      </c>
      <c r="AH13" s="99">
        <v>0.1</v>
      </c>
      <c r="AI13" s="60">
        <f>ROUND((AH13/100)*$F$30,2)</f>
        <v>10240.94</v>
      </c>
      <c r="AJ13" s="99">
        <v>0.1</v>
      </c>
      <c r="AK13" s="60">
        <f>ROUND((AJ13/100)*$F$30,2)</f>
        <v>10240.94</v>
      </c>
      <c r="AL13" s="99">
        <v>0.1</v>
      </c>
      <c r="AM13" s="60">
        <f>ROUND((AL13/100)*$F$30,2)</f>
        <v>10240.94</v>
      </c>
      <c r="AN13" s="59">
        <v>0.1</v>
      </c>
      <c r="AO13" s="60">
        <f aca="true" t="shared" si="12" ref="AO13:AO28">ROUND((AN13/100)*$F$30,2)</f>
        <v>10240.94</v>
      </c>
      <c r="AP13" s="99">
        <v>0.1</v>
      </c>
      <c r="AQ13" s="60">
        <f aca="true" t="shared" si="13" ref="AQ13:AQ22">ROUND((AP13/100)*$F$30,2)</f>
        <v>10240.94</v>
      </c>
      <c r="AR13" s="99">
        <v>0.1</v>
      </c>
      <c r="AS13" s="60">
        <f aca="true" t="shared" si="14" ref="AS13:AS27">ROUND((AR13/100)*$F$30,2)</f>
        <v>10240.94</v>
      </c>
      <c r="AT13" s="99">
        <v>0.1</v>
      </c>
      <c r="AU13" s="60">
        <f aca="true" t="shared" si="15" ref="AU13:AU25">ROUND((AT13/100)*$F$30,2)</f>
        <v>10240.94</v>
      </c>
      <c r="AV13" s="99">
        <v>0.1</v>
      </c>
      <c r="AW13" s="60">
        <f aca="true" t="shared" si="16" ref="AW13:AW23">ROUND((AV13/100)*$F$30,2)</f>
        <v>10240.94</v>
      </c>
      <c r="AX13" s="99">
        <v>0.1</v>
      </c>
      <c r="AY13" s="60">
        <f aca="true" t="shared" si="17" ref="AY13:AY28">ROUND((AX13/100)*$F$30,2)</f>
        <v>10240.94</v>
      </c>
      <c r="AZ13" s="99">
        <v>0.1</v>
      </c>
      <c r="BA13" s="60">
        <f>ROUND((AZ13/100)*$F$30,2)</f>
        <v>10240.94</v>
      </c>
      <c r="BB13" s="99">
        <v>0.1</v>
      </c>
      <c r="BC13" s="60">
        <f>ROUND((BB13/100)*$F$30,2)</f>
        <v>10240.94</v>
      </c>
      <c r="BD13" s="99">
        <v>0.1</v>
      </c>
      <c r="BE13" s="60">
        <f>ROUND((BD13/100)*$F$30,2)</f>
        <v>10240.94</v>
      </c>
      <c r="BF13" s="116"/>
      <c r="BG13" s="116"/>
      <c r="BH13" s="116"/>
      <c r="BI13" s="116"/>
      <c r="BJ13" s="116"/>
      <c r="BK13" s="116"/>
      <c r="BL13" s="116"/>
      <c r="BM13" s="116"/>
    </row>
    <row r="14" spans="1:65" s="2" customFormat="1" ht="12.75">
      <c r="A14" s="68">
        <v>2</v>
      </c>
      <c r="B14" s="69" t="s">
        <v>8</v>
      </c>
      <c r="C14" s="70">
        <v>51</v>
      </c>
      <c r="D14" s="71">
        <f>F14/21</f>
        <v>72328.90428571429</v>
      </c>
      <c r="E14" s="72">
        <v>1921.23</v>
      </c>
      <c r="F14" s="73">
        <f>10772.39*141</f>
        <v>1518906.99</v>
      </c>
      <c r="G14" s="73">
        <f t="shared" si="0"/>
        <v>14.83</v>
      </c>
      <c r="H14" s="99">
        <f t="shared" si="1"/>
        <v>0</v>
      </c>
      <c r="I14" s="73">
        <v>0</v>
      </c>
      <c r="J14" s="60">
        <v>1</v>
      </c>
      <c r="K14" s="60">
        <f aca="true" t="shared" si="18" ref="K14:K28">ROUND((J14/100)*$F$30,2)</f>
        <v>102409.37</v>
      </c>
      <c r="L14" s="60">
        <v>2</v>
      </c>
      <c r="M14" s="60">
        <f>ROUND((L14/100)*$F$30,2)</f>
        <v>204818.75</v>
      </c>
      <c r="N14" s="60">
        <v>2</v>
      </c>
      <c r="O14" s="60">
        <f t="shared" si="3"/>
        <v>204818.75</v>
      </c>
      <c r="P14" s="60">
        <v>2</v>
      </c>
      <c r="Q14" s="60">
        <f t="shared" si="4"/>
        <v>204818.75</v>
      </c>
      <c r="R14" s="60">
        <v>2</v>
      </c>
      <c r="S14" s="60">
        <f t="shared" si="5"/>
        <v>204818.75</v>
      </c>
      <c r="T14" s="60">
        <v>2</v>
      </c>
      <c r="U14" s="60">
        <f t="shared" si="6"/>
        <v>204818.75</v>
      </c>
      <c r="V14" s="60">
        <v>2</v>
      </c>
      <c r="W14" s="60">
        <f>ROUND((V14/100)*$F$30,2)</f>
        <v>204818.75</v>
      </c>
      <c r="X14" s="60">
        <v>1.83</v>
      </c>
      <c r="Y14" s="60">
        <f>ROUND((X14/100)*$F$30,2)+175.97</f>
        <v>187585.12</v>
      </c>
      <c r="Z14" s="60"/>
      <c r="AA14" s="60">
        <f t="shared" si="8"/>
        <v>0</v>
      </c>
      <c r="AB14" s="60"/>
      <c r="AC14" s="60">
        <f t="shared" si="9"/>
        <v>0</v>
      </c>
      <c r="AD14" s="60"/>
      <c r="AE14" s="60">
        <f t="shared" si="10"/>
        <v>0</v>
      </c>
      <c r="AF14" s="60"/>
      <c r="AG14" s="60">
        <f t="shared" si="11"/>
        <v>0</v>
      </c>
      <c r="AH14" s="60"/>
      <c r="AI14" s="60">
        <f aca="true" t="shared" si="19" ref="AI14:AI28">ROUND((AH14/100)*$F$30,2)</f>
        <v>0</v>
      </c>
      <c r="AJ14" s="60"/>
      <c r="AK14" s="60">
        <f aca="true" t="shared" si="20" ref="AK14:AK28">ROUND((AJ14/100)*$F$30,2)</f>
        <v>0</v>
      </c>
      <c r="AL14" s="60"/>
      <c r="AM14" s="60">
        <f aca="true" t="shared" si="21" ref="AM14:AM28">ROUND((AL14/100)*$F$30,2)</f>
        <v>0</v>
      </c>
      <c r="AN14" s="60"/>
      <c r="AO14" s="60">
        <f t="shared" si="12"/>
        <v>0</v>
      </c>
      <c r="AP14" s="60"/>
      <c r="AQ14" s="60">
        <f t="shared" si="13"/>
        <v>0</v>
      </c>
      <c r="AR14" s="60"/>
      <c r="AS14" s="60">
        <f t="shared" si="14"/>
        <v>0</v>
      </c>
      <c r="AT14" s="60"/>
      <c r="AU14" s="60">
        <f t="shared" si="15"/>
        <v>0</v>
      </c>
      <c r="AV14" s="60"/>
      <c r="AW14" s="60">
        <f t="shared" si="16"/>
        <v>0</v>
      </c>
      <c r="AX14" s="60"/>
      <c r="AY14" s="60">
        <f t="shared" si="17"/>
        <v>0</v>
      </c>
      <c r="AZ14" s="60"/>
      <c r="BA14" s="60">
        <f aca="true" t="shared" si="22" ref="BA14:BA25">ROUND((AZ14/100)*$F$30,2)</f>
        <v>0</v>
      </c>
      <c r="BB14" s="60"/>
      <c r="BC14" s="60">
        <f aca="true" t="shared" si="23" ref="BC14:BC23">ROUND((BB14/100)*$F$30,2)</f>
        <v>0</v>
      </c>
      <c r="BD14" s="60"/>
      <c r="BE14" s="60">
        <f aca="true" t="shared" si="24" ref="BE14:BE23">ROUND((BD14/100)*$F$30,2)</f>
        <v>0</v>
      </c>
      <c r="BF14" s="116"/>
      <c r="BG14" s="116"/>
      <c r="BH14" s="116"/>
      <c r="BI14" s="116"/>
      <c r="BJ14" s="116"/>
      <c r="BK14" s="116"/>
      <c r="BL14" s="116"/>
      <c r="BM14" s="116"/>
    </row>
    <row r="15" spans="1:65" s="2" customFormat="1" ht="12.75">
      <c r="A15" s="68">
        <v>3</v>
      </c>
      <c r="B15" s="69" t="s">
        <v>9</v>
      </c>
      <c r="C15" s="70">
        <v>51</v>
      </c>
      <c r="D15" s="71">
        <f>F15/24</f>
        <v>45088.862499999996</v>
      </c>
      <c r="E15" s="72">
        <v>1632.83</v>
      </c>
      <c r="F15" s="73">
        <f>7674.7*141</f>
        <v>1082132.7</v>
      </c>
      <c r="G15" s="73">
        <f t="shared" si="0"/>
        <v>10.57</v>
      </c>
      <c r="H15" s="99">
        <f t="shared" si="1"/>
        <v>0</v>
      </c>
      <c r="I15" s="73">
        <v>0</v>
      </c>
      <c r="J15" s="60"/>
      <c r="K15" s="60">
        <f t="shared" si="18"/>
        <v>0</v>
      </c>
      <c r="L15" s="60">
        <v>1</v>
      </c>
      <c r="M15" s="60">
        <f>ROUND((L15/100)*$F$30,2)-334.35</f>
        <v>102075.01999999999</v>
      </c>
      <c r="N15" s="60">
        <v>1.32</v>
      </c>
      <c r="O15" s="60">
        <f t="shared" si="3"/>
        <v>135180.37</v>
      </c>
      <c r="P15" s="60">
        <v>1.32</v>
      </c>
      <c r="Q15" s="60">
        <f t="shared" si="4"/>
        <v>135180.37</v>
      </c>
      <c r="R15" s="60">
        <v>1.32</v>
      </c>
      <c r="S15" s="60">
        <f t="shared" si="5"/>
        <v>135180.37</v>
      </c>
      <c r="T15" s="60">
        <v>1.32</v>
      </c>
      <c r="U15" s="60">
        <f t="shared" si="6"/>
        <v>135180.37</v>
      </c>
      <c r="V15" s="60">
        <v>1.32</v>
      </c>
      <c r="W15" s="60">
        <f aca="true" t="shared" si="25" ref="W15:W28">ROUND((V15/100)*$F$30,2)</f>
        <v>135180.37</v>
      </c>
      <c r="X15" s="60">
        <v>1.32</v>
      </c>
      <c r="Y15" s="60">
        <f>ROUND((X15/100)*$F$30,2)</f>
        <v>135180.37</v>
      </c>
      <c r="Z15" s="60">
        <v>1.32</v>
      </c>
      <c r="AA15" s="60">
        <f t="shared" si="8"/>
        <v>135180.37</v>
      </c>
      <c r="AB15" s="60">
        <v>0.33</v>
      </c>
      <c r="AC15" s="60">
        <f>ROUND((AB15/100)*$F$30,2)</f>
        <v>33795.09</v>
      </c>
      <c r="AD15" s="60"/>
      <c r="AE15" s="60">
        <f t="shared" si="10"/>
        <v>0</v>
      </c>
      <c r="AF15" s="60"/>
      <c r="AG15" s="60">
        <f t="shared" si="11"/>
        <v>0</v>
      </c>
      <c r="AH15" s="60"/>
      <c r="AI15" s="60">
        <f t="shared" si="19"/>
        <v>0</v>
      </c>
      <c r="AJ15" s="60"/>
      <c r="AK15" s="60">
        <f t="shared" si="20"/>
        <v>0</v>
      </c>
      <c r="AL15" s="60"/>
      <c r="AM15" s="60">
        <f>ROUND((AL15/100)*$F$30,2)</f>
        <v>0</v>
      </c>
      <c r="AN15" s="60"/>
      <c r="AO15" s="60">
        <f t="shared" si="12"/>
        <v>0</v>
      </c>
      <c r="AP15" s="60"/>
      <c r="AQ15" s="60">
        <f t="shared" si="13"/>
        <v>0</v>
      </c>
      <c r="AR15" s="60"/>
      <c r="AS15" s="60">
        <f t="shared" si="14"/>
        <v>0</v>
      </c>
      <c r="AT15" s="60"/>
      <c r="AU15" s="60">
        <f t="shared" si="15"/>
        <v>0</v>
      </c>
      <c r="AV15" s="60"/>
      <c r="AW15" s="60">
        <f t="shared" si="16"/>
        <v>0</v>
      </c>
      <c r="AX15" s="60"/>
      <c r="AY15" s="60">
        <f t="shared" si="17"/>
        <v>0</v>
      </c>
      <c r="AZ15" s="60"/>
      <c r="BA15" s="60">
        <f t="shared" si="22"/>
        <v>0</v>
      </c>
      <c r="BB15" s="60"/>
      <c r="BC15" s="60">
        <f t="shared" si="23"/>
        <v>0</v>
      </c>
      <c r="BD15" s="60"/>
      <c r="BE15" s="60">
        <f t="shared" si="24"/>
        <v>0</v>
      </c>
      <c r="BF15" s="116"/>
      <c r="BG15" s="116"/>
      <c r="BH15" s="116"/>
      <c r="BI15" s="116"/>
      <c r="BJ15" s="116"/>
      <c r="BK15" s="116"/>
      <c r="BL15" s="116"/>
      <c r="BM15" s="116"/>
    </row>
    <row r="16" spans="1:65" s="2" customFormat="1" ht="12.75">
      <c r="A16" s="68">
        <v>4</v>
      </c>
      <c r="B16" s="69" t="s">
        <v>38</v>
      </c>
      <c r="C16" s="70">
        <v>51</v>
      </c>
      <c r="D16" s="71">
        <f>F16/24</f>
        <v>34859.48875</v>
      </c>
      <c r="E16" s="72">
        <v>1429.68</v>
      </c>
      <c r="F16" s="73">
        <f>5933.53*141</f>
        <v>836627.73</v>
      </c>
      <c r="G16" s="73">
        <f t="shared" si="0"/>
        <v>8.17</v>
      </c>
      <c r="H16" s="99">
        <f t="shared" si="1"/>
        <v>0</v>
      </c>
      <c r="I16" s="73">
        <v>0</v>
      </c>
      <c r="J16" s="60"/>
      <c r="K16" s="60">
        <f t="shared" si="18"/>
        <v>0</v>
      </c>
      <c r="L16" s="60"/>
      <c r="M16" s="60">
        <f t="shared" si="2"/>
        <v>0</v>
      </c>
      <c r="N16" s="60">
        <v>1.03</v>
      </c>
      <c r="O16" s="60">
        <f>ROUND((N16/100)*$F$30,2)-56.85</f>
        <v>105424.81</v>
      </c>
      <c r="P16" s="60">
        <v>1.02</v>
      </c>
      <c r="Q16" s="60">
        <f t="shared" si="4"/>
        <v>104457.56</v>
      </c>
      <c r="R16" s="60">
        <v>1.02</v>
      </c>
      <c r="S16" s="60">
        <f t="shared" si="5"/>
        <v>104457.56</v>
      </c>
      <c r="T16" s="60">
        <v>1.02</v>
      </c>
      <c r="U16" s="60">
        <f t="shared" si="6"/>
        <v>104457.56</v>
      </c>
      <c r="V16" s="60">
        <v>1.02</v>
      </c>
      <c r="W16" s="60">
        <f t="shared" si="25"/>
        <v>104457.56</v>
      </c>
      <c r="X16" s="60">
        <v>1.02</v>
      </c>
      <c r="Y16" s="60">
        <f t="shared" si="7"/>
        <v>104457.56</v>
      </c>
      <c r="Z16" s="60">
        <v>1.02</v>
      </c>
      <c r="AA16" s="60">
        <f t="shared" si="8"/>
        <v>104457.56</v>
      </c>
      <c r="AB16" s="60">
        <v>1.02</v>
      </c>
      <c r="AC16" s="60">
        <f t="shared" si="9"/>
        <v>104457.56</v>
      </c>
      <c r="AD16" s="60"/>
      <c r="AE16" s="60">
        <f t="shared" si="10"/>
        <v>0</v>
      </c>
      <c r="AF16" s="60"/>
      <c r="AG16" s="60">
        <f t="shared" si="11"/>
        <v>0</v>
      </c>
      <c r="AH16" s="60"/>
      <c r="AI16" s="60">
        <f t="shared" si="19"/>
        <v>0</v>
      </c>
      <c r="AJ16" s="60"/>
      <c r="AK16" s="60">
        <f t="shared" si="20"/>
        <v>0</v>
      </c>
      <c r="AL16" s="60"/>
      <c r="AM16" s="60">
        <f t="shared" si="21"/>
        <v>0</v>
      </c>
      <c r="AN16" s="60"/>
      <c r="AO16" s="60">
        <f>ROUND((AN16/100)*$F$30,2)</f>
        <v>0</v>
      </c>
      <c r="AP16" s="60"/>
      <c r="AQ16" s="60">
        <f t="shared" si="13"/>
        <v>0</v>
      </c>
      <c r="AR16" s="60"/>
      <c r="AS16" s="60">
        <f t="shared" si="14"/>
        <v>0</v>
      </c>
      <c r="AT16" s="60"/>
      <c r="AU16" s="60">
        <f t="shared" si="15"/>
        <v>0</v>
      </c>
      <c r="AV16" s="60"/>
      <c r="AW16" s="60">
        <f t="shared" si="16"/>
        <v>0</v>
      </c>
      <c r="AX16" s="60"/>
      <c r="AY16" s="60">
        <f t="shared" si="17"/>
        <v>0</v>
      </c>
      <c r="AZ16" s="60"/>
      <c r="BA16" s="60">
        <f t="shared" si="22"/>
        <v>0</v>
      </c>
      <c r="BB16" s="60"/>
      <c r="BC16" s="60">
        <f t="shared" si="23"/>
        <v>0</v>
      </c>
      <c r="BD16" s="60"/>
      <c r="BE16" s="60">
        <f t="shared" si="24"/>
        <v>0</v>
      </c>
      <c r="BF16" s="116"/>
      <c r="BG16" s="116"/>
      <c r="BH16" s="116"/>
      <c r="BI16" s="116"/>
      <c r="BJ16" s="116"/>
      <c r="BK16" s="116"/>
      <c r="BL16" s="116"/>
      <c r="BM16" s="116"/>
    </row>
    <row r="17" spans="1:65" s="2" customFormat="1" ht="12.75">
      <c r="A17" s="68">
        <v>5</v>
      </c>
      <c r="B17" s="69" t="s">
        <v>10</v>
      </c>
      <c r="C17" s="70">
        <v>51</v>
      </c>
      <c r="D17" s="71">
        <f>F17/24</f>
        <v>62406.18875</v>
      </c>
      <c r="E17" s="72">
        <v>1876.04</v>
      </c>
      <c r="F17" s="73">
        <f>10622.33*141</f>
        <v>1497748.53</v>
      </c>
      <c r="G17" s="73">
        <f t="shared" si="0"/>
        <v>14.63</v>
      </c>
      <c r="H17" s="99">
        <f t="shared" si="1"/>
        <v>0</v>
      </c>
      <c r="I17" s="73">
        <v>0</v>
      </c>
      <c r="J17" s="60"/>
      <c r="K17" s="60">
        <f t="shared" si="18"/>
        <v>0</v>
      </c>
      <c r="L17" s="60"/>
      <c r="M17" s="60">
        <f t="shared" si="2"/>
        <v>0</v>
      </c>
      <c r="N17" s="60"/>
      <c r="O17" s="60">
        <f>ROUND((N17/100)*$F$30,2)</f>
        <v>0</v>
      </c>
      <c r="P17" s="60">
        <v>1.83</v>
      </c>
      <c r="Q17" s="60">
        <f t="shared" si="4"/>
        <v>187409.15</v>
      </c>
      <c r="R17" s="60">
        <v>1.82</v>
      </c>
      <c r="S17" s="60">
        <f t="shared" si="5"/>
        <v>186385.06</v>
      </c>
      <c r="T17" s="60">
        <v>1.82</v>
      </c>
      <c r="U17" s="60">
        <f t="shared" si="6"/>
        <v>186385.06</v>
      </c>
      <c r="V17" s="60">
        <v>1.82</v>
      </c>
      <c r="W17" s="60">
        <f t="shared" si="25"/>
        <v>186385.06</v>
      </c>
      <c r="X17" s="60">
        <v>1.82</v>
      </c>
      <c r="Y17" s="60">
        <f t="shared" si="7"/>
        <v>186385.06</v>
      </c>
      <c r="Z17" s="60">
        <v>1.82</v>
      </c>
      <c r="AA17" s="60">
        <f t="shared" si="8"/>
        <v>186385.06</v>
      </c>
      <c r="AB17" s="60">
        <v>1.82</v>
      </c>
      <c r="AC17" s="60">
        <f t="shared" si="9"/>
        <v>186385.06</v>
      </c>
      <c r="AD17" s="60">
        <v>1.82</v>
      </c>
      <c r="AE17" s="60">
        <f t="shared" si="10"/>
        <v>186385.06</v>
      </c>
      <c r="AF17" s="60">
        <v>0.06</v>
      </c>
      <c r="AG17" s="60">
        <f>ROUND((AF17/100)*$F$30,2)-500.6</f>
        <v>5643.96</v>
      </c>
      <c r="AH17" s="60"/>
      <c r="AI17" s="60">
        <f t="shared" si="19"/>
        <v>0</v>
      </c>
      <c r="AJ17" s="60"/>
      <c r="AK17" s="60">
        <f t="shared" si="20"/>
        <v>0</v>
      </c>
      <c r="AL17" s="60"/>
      <c r="AM17" s="60">
        <f t="shared" si="21"/>
        <v>0</v>
      </c>
      <c r="AN17" s="60"/>
      <c r="AO17" s="60">
        <f t="shared" si="12"/>
        <v>0</v>
      </c>
      <c r="AP17" s="60"/>
      <c r="AQ17" s="60">
        <f t="shared" si="13"/>
        <v>0</v>
      </c>
      <c r="AR17" s="60"/>
      <c r="AS17" s="60">
        <f t="shared" si="14"/>
        <v>0</v>
      </c>
      <c r="AT17" s="60"/>
      <c r="AU17" s="60">
        <f t="shared" si="15"/>
        <v>0</v>
      </c>
      <c r="AV17" s="60"/>
      <c r="AW17" s="60">
        <f t="shared" si="16"/>
        <v>0</v>
      </c>
      <c r="AX17" s="60"/>
      <c r="AY17" s="60">
        <f t="shared" si="17"/>
        <v>0</v>
      </c>
      <c r="AZ17" s="60"/>
      <c r="BA17" s="60">
        <f t="shared" si="22"/>
        <v>0</v>
      </c>
      <c r="BB17" s="60"/>
      <c r="BC17" s="60">
        <f t="shared" si="23"/>
        <v>0</v>
      </c>
      <c r="BD17" s="60"/>
      <c r="BE17" s="60">
        <f t="shared" si="24"/>
        <v>0</v>
      </c>
      <c r="BF17" s="116"/>
      <c r="BG17" s="116"/>
      <c r="BH17" s="116"/>
      <c r="BI17" s="116"/>
      <c r="BJ17" s="116"/>
      <c r="BK17" s="116"/>
      <c r="BL17" s="116"/>
      <c r="BM17" s="116"/>
    </row>
    <row r="18" spans="1:65" s="2" customFormat="1" ht="12.75">
      <c r="A18" s="68">
        <v>6</v>
      </c>
      <c r="B18" s="69" t="s">
        <v>11</v>
      </c>
      <c r="C18" s="70">
        <v>51</v>
      </c>
      <c r="D18" s="71">
        <f>F18/24</f>
        <v>51058.15625</v>
      </c>
      <c r="E18" s="72">
        <v>898.98</v>
      </c>
      <c r="F18" s="73">
        <f>8690.75*141</f>
        <v>1225395.75</v>
      </c>
      <c r="G18" s="73">
        <f t="shared" si="0"/>
        <v>11.97</v>
      </c>
      <c r="H18" s="99">
        <f t="shared" si="1"/>
        <v>0</v>
      </c>
      <c r="I18" s="77">
        <v>0</v>
      </c>
      <c r="J18" s="60"/>
      <c r="K18" s="60">
        <f t="shared" si="18"/>
        <v>0</v>
      </c>
      <c r="L18" s="60"/>
      <c r="M18" s="60">
        <f t="shared" si="2"/>
        <v>0</v>
      </c>
      <c r="N18" s="60"/>
      <c r="O18" s="60">
        <f t="shared" si="3"/>
        <v>0</v>
      </c>
      <c r="P18" s="60">
        <v>1</v>
      </c>
      <c r="Q18" s="60">
        <f>ROUND((P18/100)*$F$30,2)</f>
        <v>102409.37</v>
      </c>
      <c r="R18" s="60">
        <v>1.2</v>
      </c>
      <c r="S18" s="60">
        <f t="shared" si="5"/>
        <v>122891.25</v>
      </c>
      <c r="T18" s="60">
        <v>1.4</v>
      </c>
      <c r="U18" s="60">
        <f t="shared" si="6"/>
        <v>143373.12</v>
      </c>
      <c r="V18" s="60">
        <v>1.49</v>
      </c>
      <c r="W18" s="60">
        <f t="shared" si="25"/>
        <v>152589.97</v>
      </c>
      <c r="X18" s="60">
        <v>1.49</v>
      </c>
      <c r="Y18" s="60">
        <f t="shared" si="7"/>
        <v>152589.97</v>
      </c>
      <c r="Z18" s="60">
        <v>1.52</v>
      </c>
      <c r="AA18" s="60">
        <f t="shared" si="8"/>
        <v>155662.25</v>
      </c>
      <c r="AB18" s="60">
        <v>1.45</v>
      </c>
      <c r="AC18" s="60">
        <f t="shared" si="9"/>
        <v>148493.59</v>
      </c>
      <c r="AD18" s="60">
        <v>1.45</v>
      </c>
      <c r="AE18" s="60">
        <f t="shared" si="10"/>
        <v>148493.59</v>
      </c>
      <c r="AF18" s="60">
        <v>0.97</v>
      </c>
      <c r="AG18" s="60">
        <f>ROUND((AF18/100)*$F$30,2)-444.45</f>
        <v>98892.64</v>
      </c>
      <c r="AH18" s="60"/>
      <c r="AI18" s="60">
        <f t="shared" si="19"/>
        <v>0</v>
      </c>
      <c r="AJ18" s="60"/>
      <c r="AK18" s="60">
        <f t="shared" si="20"/>
        <v>0</v>
      </c>
      <c r="AL18" s="60"/>
      <c r="AM18" s="60">
        <f t="shared" si="21"/>
        <v>0</v>
      </c>
      <c r="AN18" s="60"/>
      <c r="AO18" s="60">
        <f t="shared" si="12"/>
        <v>0</v>
      </c>
      <c r="AP18" s="60"/>
      <c r="AQ18" s="60">
        <f t="shared" si="13"/>
        <v>0</v>
      </c>
      <c r="AR18" s="60"/>
      <c r="AS18" s="60">
        <f t="shared" si="14"/>
        <v>0</v>
      </c>
      <c r="AT18" s="60"/>
      <c r="AU18" s="60">
        <f t="shared" si="15"/>
        <v>0</v>
      </c>
      <c r="AV18" s="60"/>
      <c r="AW18" s="60">
        <f t="shared" si="16"/>
        <v>0</v>
      </c>
      <c r="AX18" s="60"/>
      <c r="AY18" s="60">
        <f t="shared" si="17"/>
        <v>0</v>
      </c>
      <c r="AZ18" s="60"/>
      <c r="BA18" s="60">
        <f t="shared" si="22"/>
        <v>0</v>
      </c>
      <c r="BB18" s="60"/>
      <c r="BC18" s="60">
        <f t="shared" si="23"/>
        <v>0</v>
      </c>
      <c r="BD18" s="60"/>
      <c r="BE18" s="60">
        <f t="shared" si="24"/>
        <v>0</v>
      </c>
      <c r="BF18" s="116"/>
      <c r="BG18" s="116"/>
      <c r="BH18" s="116"/>
      <c r="BI18" s="116"/>
      <c r="BJ18" s="116"/>
      <c r="BK18" s="116"/>
      <c r="BL18" s="116"/>
      <c r="BM18" s="116"/>
    </row>
    <row r="19" spans="1:65" s="2" customFormat="1" ht="12.75">
      <c r="A19" s="68">
        <v>7</v>
      </c>
      <c r="B19" s="69" t="s">
        <v>12</v>
      </c>
      <c r="C19" s="70">
        <v>51</v>
      </c>
      <c r="D19" s="71">
        <f>F19/15</f>
        <v>36877.422</v>
      </c>
      <c r="E19" s="72">
        <v>826.26</v>
      </c>
      <c r="F19" s="73">
        <f>3923.13*141</f>
        <v>553161.33</v>
      </c>
      <c r="G19" s="73">
        <f t="shared" si="0"/>
        <v>5.4</v>
      </c>
      <c r="H19" s="99">
        <f t="shared" si="1"/>
        <v>0</v>
      </c>
      <c r="I19" s="77">
        <v>0</v>
      </c>
      <c r="J19" s="60"/>
      <c r="K19" s="60">
        <f t="shared" si="18"/>
        <v>0</v>
      </c>
      <c r="L19" s="60"/>
      <c r="M19" s="60">
        <f t="shared" si="2"/>
        <v>0</v>
      </c>
      <c r="N19" s="60"/>
      <c r="O19" s="60">
        <f t="shared" si="3"/>
        <v>0</v>
      </c>
      <c r="P19" s="60"/>
      <c r="Q19" s="60">
        <f t="shared" si="4"/>
        <v>0</v>
      </c>
      <c r="R19" s="60"/>
      <c r="S19" s="60">
        <f t="shared" si="5"/>
        <v>0</v>
      </c>
      <c r="T19" s="60"/>
      <c r="U19" s="60">
        <f t="shared" si="6"/>
        <v>0</v>
      </c>
      <c r="V19" s="60"/>
      <c r="W19" s="60">
        <f t="shared" si="25"/>
        <v>0</v>
      </c>
      <c r="X19" s="60"/>
      <c r="Y19" s="60">
        <f t="shared" si="7"/>
        <v>0</v>
      </c>
      <c r="Z19" s="60"/>
      <c r="AA19" s="60">
        <f t="shared" si="8"/>
        <v>0</v>
      </c>
      <c r="AB19" s="60">
        <v>1</v>
      </c>
      <c r="AC19" s="60">
        <f t="shared" si="9"/>
        <v>102409.37</v>
      </c>
      <c r="AD19" s="60">
        <v>1</v>
      </c>
      <c r="AE19" s="60">
        <f t="shared" si="10"/>
        <v>102409.37</v>
      </c>
      <c r="AF19" s="60">
        <v>1</v>
      </c>
      <c r="AG19" s="60">
        <f t="shared" si="11"/>
        <v>102409.37</v>
      </c>
      <c r="AH19" s="60">
        <v>1</v>
      </c>
      <c r="AI19" s="60">
        <f t="shared" si="19"/>
        <v>102409.37</v>
      </c>
      <c r="AJ19" s="60">
        <v>1</v>
      </c>
      <c r="AK19" s="60">
        <f t="shared" si="20"/>
        <v>102409.37</v>
      </c>
      <c r="AL19" s="60">
        <v>0.4</v>
      </c>
      <c r="AM19" s="60">
        <f>ROUND((AL19/100)*$F$30,2)+150.73</f>
        <v>41114.48</v>
      </c>
      <c r="AN19" s="60"/>
      <c r="AO19" s="60">
        <f t="shared" si="12"/>
        <v>0</v>
      </c>
      <c r="AP19" s="60"/>
      <c r="AQ19" s="60">
        <f t="shared" si="13"/>
        <v>0</v>
      </c>
      <c r="AR19" s="60"/>
      <c r="AS19" s="60">
        <f t="shared" si="14"/>
        <v>0</v>
      </c>
      <c r="AT19" s="60"/>
      <c r="AU19" s="60">
        <f t="shared" si="15"/>
        <v>0</v>
      </c>
      <c r="AV19" s="60"/>
      <c r="AW19" s="60">
        <f t="shared" si="16"/>
        <v>0</v>
      </c>
      <c r="AX19" s="60"/>
      <c r="AY19" s="60">
        <f t="shared" si="17"/>
        <v>0</v>
      </c>
      <c r="AZ19" s="60"/>
      <c r="BA19" s="60">
        <f t="shared" si="22"/>
        <v>0</v>
      </c>
      <c r="BB19" s="60"/>
      <c r="BC19" s="60">
        <f t="shared" si="23"/>
        <v>0</v>
      </c>
      <c r="BD19" s="60"/>
      <c r="BE19" s="60">
        <f t="shared" si="24"/>
        <v>0</v>
      </c>
      <c r="BF19" s="116"/>
      <c r="BG19" s="116"/>
      <c r="BH19" s="116"/>
      <c r="BI19" s="116"/>
      <c r="BJ19" s="116"/>
      <c r="BK19" s="116"/>
      <c r="BL19" s="116"/>
      <c r="BM19" s="116"/>
    </row>
    <row r="20" spans="1:65" s="2" customFormat="1" ht="12.75" hidden="1">
      <c r="A20" s="68">
        <v>8</v>
      </c>
      <c r="B20" s="69" t="s">
        <v>39</v>
      </c>
      <c r="C20" s="70">
        <v>51</v>
      </c>
      <c r="D20" s="71">
        <f>F20/21</f>
        <v>0</v>
      </c>
      <c r="E20" s="72">
        <v>1686.21</v>
      </c>
      <c r="F20" s="73"/>
      <c r="G20" s="73">
        <f t="shared" si="0"/>
        <v>0</v>
      </c>
      <c r="H20" s="60">
        <f t="shared" si="1"/>
        <v>0</v>
      </c>
      <c r="I20" s="77">
        <v>0</v>
      </c>
      <c r="J20" s="60"/>
      <c r="K20" s="60">
        <f t="shared" si="18"/>
        <v>0</v>
      </c>
      <c r="L20" s="60"/>
      <c r="M20" s="60">
        <f t="shared" si="2"/>
        <v>0</v>
      </c>
      <c r="N20" s="60"/>
      <c r="O20" s="60">
        <f t="shared" si="3"/>
        <v>0</v>
      </c>
      <c r="P20" s="60"/>
      <c r="Q20" s="60">
        <f t="shared" si="4"/>
        <v>0</v>
      </c>
      <c r="R20" s="60"/>
      <c r="S20" s="60">
        <f t="shared" si="5"/>
        <v>0</v>
      </c>
      <c r="T20" s="60"/>
      <c r="U20" s="60">
        <f t="shared" si="6"/>
        <v>0</v>
      </c>
      <c r="V20" s="60"/>
      <c r="W20" s="60">
        <f t="shared" si="25"/>
        <v>0</v>
      </c>
      <c r="X20" s="60"/>
      <c r="Y20" s="60">
        <f t="shared" si="7"/>
        <v>0</v>
      </c>
      <c r="Z20" s="60"/>
      <c r="AA20" s="60">
        <f t="shared" si="8"/>
        <v>0</v>
      </c>
      <c r="AB20" s="60"/>
      <c r="AC20" s="60">
        <f t="shared" si="9"/>
        <v>0</v>
      </c>
      <c r="AD20" s="60"/>
      <c r="AE20" s="60">
        <f t="shared" si="10"/>
        <v>0</v>
      </c>
      <c r="AF20" s="60"/>
      <c r="AG20" s="60">
        <f t="shared" si="11"/>
        <v>0</v>
      </c>
      <c r="AH20" s="60"/>
      <c r="AI20" s="60">
        <f t="shared" si="19"/>
        <v>0</v>
      </c>
      <c r="AJ20" s="60"/>
      <c r="AK20" s="60">
        <f t="shared" si="20"/>
        <v>0</v>
      </c>
      <c r="AL20" s="60"/>
      <c r="AM20" s="60">
        <f t="shared" si="21"/>
        <v>0</v>
      </c>
      <c r="AN20" s="60"/>
      <c r="AO20" s="60">
        <f t="shared" si="12"/>
        <v>0</v>
      </c>
      <c r="AP20" s="60"/>
      <c r="AQ20" s="60">
        <f t="shared" si="13"/>
        <v>0</v>
      </c>
      <c r="AR20" s="60"/>
      <c r="AS20" s="60">
        <f t="shared" si="14"/>
        <v>0</v>
      </c>
      <c r="AT20" s="60"/>
      <c r="AU20" s="60">
        <f t="shared" si="15"/>
        <v>0</v>
      </c>
      <c r="AV20" s="60"/>
      <c r="AW20" s="60">
        <f t="shared" si="16"/>
        <v>0</v>
      </c>
      <c r="AX20" s="60"/>
      <c r="AY20" s="60">
        <f t="shared" si="17"/>
        <v>0</v>
      </c>
      <c r="AZ20" s="60"/>
      <c r="BA20" s="60">
        <f t="shared" si="22"/>
        <v>0</v>
      </c>
      <c r="BB20" s="60"/>
      <c r="BC20" s="60">
        <f t="shared" si="23"/>
        <v>0</v>
      </c>
      <c r="BD20" s="60"/>
      <c r="BE20" s="60">
        <f t="shared" si="24"/>
        <v>0</v>
      </c>
      <c r="BF20" s="116"/>
      <c r="BG20" s="116"/>
      <c r="BH20" s="116"/>
      <c r="BI20" s="116"/>
      <c r="BJ20" s="116"/>
      <c r="BK20" s="116"/>
      <c r="BL20" s="116"/>
      <c r="BM20" s="116"/>
    </row>
    <row r="21" spans="1:65" s="2" customFormat="1" ht="12.75">
      <c r="A21" s="122">
        <v>8</v>
      </c>
      <c r="B21" s="69" t="s">
        <v>73</v>
      </c>
      <c r="C21" s="70">
        <v>51</v>
      </c>
      <c r="D21" s="71">
        <f>F21/9</f>
        <v>7330.59</v>
      </c>
      <c r="E21" s="72">
        <v>51.42</v>
      </c>
      <c r="F21" s="73">
        <f>467.91*141</f>
        <v>65975.31</v>
      </c>
      <c r="G21" s="73">
        <f t="shared" si="0"/>
        <v>0.64</v>
      </c>
      <c r="H21" s="60">
        <f t="shared" si="1"/>
        <v>0</v>
      </c>
      <c r="I21" s="87">
        <v>0</v>
      </c>
      <c r="J21" s="60"/>
      <c r="K21" s="60">
        <f t="shared" si="18"/>
        <v>0</v>
      </c>
      <c r="L21" s="60"/>
      <c r="M21" s="60">
        <f t="shared" si="2"/>
        <v>0</v>
      </c>
      <c r="N21" s="60"/>
      <c r="O21" s="60">
        <f t="shared" si="3"/>
        <v>0</v>
      </c>
      <c r="P21" s="60"/>
      <c r="Q21" s="60">
        <f t="shared" si="4"/>
        <v>0</v>
      </c>
      <c r="R21" s="60"/>
      <c r="S21" s="60">
        <f t="shared" si="5"/>
        <v>0</v>
      </c>
      <c r="T21" s="60"/>
      <c r="U21" s="60">
        <f t="shared" si="6"/>
        <v>0</v>
      </c>
      <c r="V21" s="60"/>
      <c r="W21" s="60">
        <f t="shared" si="25"/>
        <v>0</v>
      </c>
      <c r="X21" s="60"/>
      <c r="Y21" s="60">
        <f t="shared" si="7"/>
        <v>0</v>
      </c>
      <c r="Z21" s="60"/>
      <c r="AA21" s="60">
        <f t="shared" si="8"/>
        <v>0</v>
      </c>
      <c r="AB21" s="60"/>
      <c r="AC21" s="60">
        <f t="shared" si="9"/>
        <v>0</v>
      </c>
      <c r="AD21" s="60"/>
      <c r="AE21" s="60">
        <f t="shared" si="10"/>
        <v>0</v>
      </c>
      <c r="AF21" s="60"/>
      <c r="AG21" s="60">
        <f>ROUND((AF21/100)*$F$30,2)</f>
        <v>0</v>
      </c>
      <c r="AH21" s="60">
        <v>0.1</v>
      </c>
      <c r="AI21" s="60">
        <f t="shared" si="19"/>
        <v>10240.94</v>
      </c>
      <c r="AJ21" s="60">
        <v>0.1</v>
      </c>
      <c r="AK21" s="60">
        <f t="shared" si="20"/>
        <v>10240.94</v>
      </c>
      <c r="AL21" s="60">
        <v>0.24</v>
      </c>
      <c r="AM21" s="60">
        <f>ROUND((AL21/100)*$F$30,2)+433.31</f>
        <v>25011.56</v>
      </c>
      <c r="AN21" s="60">
        <v>0.2</v>
      </c>
      <c r="AO21" s="60">
        <f t="shared" si="12"/>
        <v>20481.87</v>
      </c>
      <c r="AP21" s="60"/>
      <c r="AQ21" s="60">
        <f>ROUND((AP21/100)*$F$30,2)</f>
        <v>0</v>
      </c>
      <c r="AR21" s="60"/>
      <c r="AS21" s="60">
        <f t="shared" si="14"/>
        <v>0</v>
      </c>
      <c r="AT21" s="60"/>
      <c r="AU21" s="60">
        <f t="shared" si="15"/>
        <v>0</v>
      </c>
      <c r="AV21" s="60"/>
      <c r="AW21" s="60">
        <f t="shared" si="16"/>
        <v>0</v>
      </c>
      <c r="AX21" s="60"/>
      <c r="AY21" s="60">
        <f t="shared" si="17"/>
        <v>0</v>
      </c>
      <c r="AZ21" s="60"/>
      <c r="BA21" s="60">
        <f t="shared" si="22"/>
        <v>0</v>
      </c>
      <c r="BB21" s="60"/>
      <c r="BC21" s="60">
        <f t="shared" si="23"/>
        <v>0</v>
      </c>
      <c r="BD21" s="60"/>
      <c r="BE21" s="60">
        <f t="shared" si="24"/>
        <v>0</v>
      </c>
      <c r="BF21" s="116"/>
      <c r="BG21" s="116"/>
      <c r="BH21" s="116"/>
      <c r="BI21" s="116"/>
      <c r="BJ21" s="116"/>
      <c r="BK21" s="116"/>
      <c r="BL21" s="116"/>
      <c r="BM21" s="116"/>
    </row>
    <row r="22" spans="1:65" s="2" customFormat="1" ht="12.75">
      <c r="A22" s="68">
        <v>9</v>
      </c>
      <c r="B22" s="69" t="s">
        <v>74</v>
      </c>
      <c r="C22" s="70">
        <v>51</v>
      </c>
      <c r="D22" s="71">
        <f>F22/9</f>
        <v>84710.29333333333</v>
      </c>
      <c r="E22" s="72">
        <v>362.49</v>
      </c>
      <c r="F22" s="73">
        <f>5407.04*141</f>
        <v>762392.64</v>
      </c>
      <c r="G22" s="73">
        <f>ROUND((F22/$F$30)*100,2)-0.01</f>
        <v>7.430000000000001</v>
      </c>
      <c r="H22" s="60">
        <f t="shared" si="1"/>
        <v>0</v>
      </c>
      <c r="I22" s="87">
        <v>0</v>
      </c>
      <c r="J22" s="60"/>
      <c r="K22" s="60">
        <f t="shared" si="18"/>
        <v>0</v>
      </c>
      <c r="L22" s="60"/>
      <c r="M22" s="60">
        <f t="shared" si="2"/>
        <v>0</v>
      </c>
      <c r="N22" s="60"/>
      <c r="O22" s="60">
        <f t="shared" si="3"/>
        <v>0</v>
      </c>
      <c r="P22" s="60"/>
      <c r="Q22" s="60">
        <f t="shared" si="4"/>
        <v>0</v>
      </c>
      <c r="R22" s="60"/>
      <c r="S22" s="60">
        <f t="shared" si="5"/>
        <v>0</v>
      </c>
      <c r="T22" s="60"/>
      <c r="U22" s="60">
        <f t="shared" si="6"/>
        <v>0</v>
      </c>
      <c r="V22" s="60"/>
      <c r="W22" s="60">
        <f t="shared" si="25"/>
        <v>0</v>
      </c>
      <c r="X22" s="60"/>
      <c r="Y22" s="60">
        <f t="shared" si="7"/>
        <v>0</v>
      </c>
      <c r="Z22" s="60"/>
      <c r="AA22" s="60">
        <f t="shared" si="8"/>
        <v>0</v>
      </c>
      <c r="AB22" s="60"/>
      <c r="AC22" s="60">
        <f t="shared" si="9"/>
        <v>0</v>
      </c>
      <c r="AD22" s="60"/>
      <c r="AE22" s="60">
        <f t="shared" si="10"/>
        <v>0</v>
      </c>
      <c r="AF22" s="60">
        <v>0.2</v>
      </c>
      <c r="AG22" s="60">
        <f t="shared" si="11"/>
        <v>20481.87</v>
      </c>
      <c r="AH22" s="60">
        <v>0.4</v>
      </c>
      <c r="AI22" s="60">
        <f t="shared" si="19"/>
        <v>40963.75</v>
      </c>
      <c r="AJ22" s="60">
        <v>0.4</v>
      </c>
      <c r="AK22" s="60">
        <f>ROUND((AJ22/100)*$F$30,2)+1491</f>
        <v>42454.75</v>
      </c>
      <c r="AL22" s="60">
        <v>1</v>
      </c>
      <c r="AM22" s="60">
        <f t="shared" si="21"/>
        <v>102409.37</v>
      </c>
      <c r="AN22" s="60">
        <v>1</v>
      </c>
      <c r="AO22" s="60">
        <f>ROUND((AN22/100)*$F$30,2)</f>
        <v>102409.37</v>
      </c>
      <c r="AP22" s="60">
        <v>1.3</v>
      </c>
      <c r="AQ22" s="60">
        <f t="shared" si="13"/>
        <v>133132.19</v>
      </c>
      <c r="AR22" s="60">
        <v>1.4</v>
      </c>
      <c r="AS22" s="60">
        <f t="shared" si="14"/>
        <v>143373.12</v>
      </c>
      <c r="AT22" s="60">
        <v>0.5</v>
      </c>
      <c r="AU22" s="60">
        <f t="shared" si="15"/>
        <v>51204.69</v>
      </c>
      <c r="AV22" s="60">
        <v>0.63</v>
      </c>
      <c r="AW22" s="60">
        <f t="shared" si="16"/>
        <v>64517.91</v>
      </c>
      <c r="AX22" s="60">
        <v>0.6</v>
      </c>
      <c r="AY22" s="60">
        <f t="shared" si="17"/>
        <v>61445.62</v>
      </c>
      <c r="AZ22" s="60"/>
      <c r="BA22" s="60">
        <f t="shared" si="22"/>
        <v>0</v>
      </c>
      <c r="BB22" s="60"/>
      <c r="BC22" s="60">
        <f t="shared" si="23"/>
        <v>0</v>
      </c>
      <c r="BD22" s="60"/>
      <c r="BE22" s="60">
        <f t="shared" si="24"/>
        <v>0</v>
      </c>
      <c r="BF22" s="116"/>
      <c r="BG22" s="116"/>
      <c r="BH22" s="116"/>
      <c r="BI22" s="116"/>
      <c r="BJ22" s="116"/>
      <c r="BK22" s="116"/>
      <c r="BL22" s="116"/>
      <c r="BM22" s="116"/>
    </row>
    <row r="23" spans="1:65" s="2" customFormat="1" ht="12.75">
      <c r="A23" s="68">
        <v>10</v>
      </c>
      <c r="B23" s="69" t="s">
        <v>78</v>
      </c>
      <c r="C23" s="70">
        <v>51</v>
      </c>
      <c r="D23" s="71">
        <f>F23/18</f>
        <v>1913.0566666666664</v>
      </c>
      <c r="E23" s="72">
        <v>1333.04</v>
      </c>
      <c r="F23" s="73">
        <f>244.22*141</f>
        <v>34435.02</v>
      </c>
      <c r="G23" s="73">
        <f t="shared" si="0"/>
        <v>0.34</v>
      </c>
      <c r="H23" s="60">
        <f t="shared" si="1"/>
        <v>0</v>
      </c>
      <c r="I23" s="77">
        <v>0</v>
      </c>
      <c r="J23" s="60"/>
      <c r="K23" s="60">
        <f t="shared" si="18"/>
        <v>0</v>
      </c>
      <c r="L23" s="60"/>
      <c r="M23" s="60">
        <f t="shared" si="2"/>
        <v>0</v>
      </c>
      <c r="N23" s="60"/>
      <c r="O23" s="60">
        <f t="shared" si="3"/>
        <v>0</v>
      </c>
      <c r="P23" s="60"/>
      <c r="Q23" s="60">
        <f t="shared" si="4"/>
        <v>0</v>
      </c>
      <c r="R23" s="60"/>
      <c r="S23" s="60">
        <f t="shared" si="5"/>
        <v>0</v>
      </c>
      <c r="T23" s="60"/>
      <c r="U23" s="60">
        <f t="shared" si="6"/>
        <v>0</v>
      </c>
      <c r="V23" s="60"/>
      <c r="W23" s="60">
        <f t="shared" si="25"/>
        <v>0</v>
      </c>
      <c r="X23" s="60"/>
      <c r="Y23" s="60">
        <f t="shared" si="7"/>
        <v>0</v>
      </c>
      <c r="Z23" s="60"/>
      <c r="AA23" s="60">
        <f t="shared" si="8"/>
        <v>0</v>
      </c>
      <c r="AB23" s="60"/>
      <c r="AC23" s="60">
        <f t="shared" si="9"/>
        <v>0</v>
      </c>
      <c r="AD23" s="60"/>
      <c r="AE23" s="60">
        <f t="shared" si="10"/>
        <v>0</v>
      </c>
      <c r="AF23" s="60"/>
      <c r="AG23" s="60">
        <f t="shared" si="11"/>
        <v>0</v>
      </c>
      <c r="AH23" s="60"/>
      <c r="AI23" s="60">
        <f t="shared" si="19"/>
        <v>0</v>
      </c>
      <c r="AJ23" s="60">
        <v>0.1</v>
      </c>
      <c r="AK23" s="60">
        <f t="shared" si="20"/>
        <v>10240.94</v>
      </c>
      <c r="AL23" s="60">
        <v>0.1</v>
      </c>
      <c r="AM23" s="60">
        <f t="shared" si="21"/>
        <v>10240.94</v>
      </c>
      <c r="AN23" s="60">
        <v>0.1</v>
      </c>
      <c r="AO23" s="60">
        <f t="shared" si="12"/>
        <v>10240.94</v>
      </c>
      <c r="AP23" s="60">
        <v>0.04</v>
      </c>
      <c r="AQ23" s="60">
        <f>ROUND((AP23/100)*$F$30,2)-384.17</f>
        <v>3712.2</v>
      </c>
      <c r="AR23" s="60"/>
      <c r="AS23" s="60">
        <f t="shared" si="14"/>
        <v>0</v>
      </c>
      <c r="AT23" s="60"/>
      <c r="AU23" s="60">
        <f t="shared" si="15"/>
        <v>0</v>
      </c>
      <c r="AV23" s="60"/>
      <c r="AW23" s="60">
        <f t="shared" si="16"/>
        <v>0</v>
      </c>
      <c r="AX23" s="60"/>
      <c r="AY23" s="60">
        <f t="shared" si="17"/>
        <v>0</v>
      </c>
      <c r="AZ23" s="60"/>
      <c r="BA23" s="60">
        <f t="shared" si="22"/>
        <v>0</v>
      </c>
      <c r="BB23" s="60"/>
      <c r="BC23" s="60">
        <f t="shared" si="23"/>
        <v>0</v>
      </c>
      <c r="BD23" s="60"/>
      <c r="BE23" s="60">
        <f t="shared" si="24"/>
        <v>0</v>
      </c>
      <c r="BF23" s="116"/>
      <c r="BG23" s="116"/>
      <c r="BH23" s="116"/>
      <c r="BI23" s="116"/>
      <c r="BJ23" s="116"/>
      <c r="BK23" s="116"/>
      <c r="BL23" s="116"/>
      <c r="BM23" s="116"/>
    </row>
    <row r="24" spans="1:65" s="2" customFormat="1" ht="13.5" customHeight="1">
      <c r="A24" s="68">
        <v>11</v>
      </c>
      <c r="B24" s="69" t="s">
        <v>13</v>
      </c>
      <c r="C24" s="70">
        <v>51</v>
      </c>
      <c r="D24" s="71">
        <f>F24/9</f>
        <v>59309.456666666665</v>
      </c>
      <c r="E24" s="72">
        <v>398.7</v>
      </c>
      <c r="F24" s="73">
        <f>3785.71*141</f>
        <v>533785.11</v>
      </c>
      <c r="G24" s="73">
        <f t="shared" si="0"/>
        <v>5.21</v>
      </c>
      <c r="H24" s="60">
        <f t="shared" si="1"/>
        <v>0</v>
      </c>
      <c r="I24" s="87">
        <v>0</v>
      </c>
      <c r="J24" s="60"/>
      <c r="K24" s="60">
        <f t="shared" si="18"/>
        <v>0</v>
      </c>
      <c r="L24" s="60"/>
      <c r="M24" s="60">
        <f t="shared" si="2"/>
        <v>0</v>
      </c>
      <c r="N24" s="60"/>
      <c r="O24" s="60">
        <f t="shared" si="3"/>
        <v>0</v>
      </c>
      <c r="P24" s="60"/>
      <c r="Q24" s="60">
        <f t="shared" si="4"/>
        <v>0</v>
      </c>
      <c r="R24" s="60"/>
      <c r="S24" s="60">
        <f t="shared" si="5"/>
        <v>0</v>
      </c>
      <c r="T24" s="60"/>
      <c r="U24" s="60">
        <f t="shared" si="6"/>
        <v>0</v>
      </c>
      <c r="V24" s="60"/>
      <c r="W24" s="60">
        <f t="shared" si="25"/>
        <v>0</v>
      </c>
      <c r="X24" s="60"/>
      <c r="Y24" s="60">
        <f t="shared" si="7"/>
        <v>0</v>
      </c>
      <c r="Z24" s="60"/>
      <c r="AA24" s="60">
        <f t="shared" si="8"/>
        <v>0</v>
      </c>
      <c r="AB24" s="60"/>
      <c r="AC24" s="60">
        <f t="shared" si="9"/>
        <v>0</v>
      </c>
      <c r="AD24" s="60"/>
      <c r="AE24" s="60">
        <f t="shared" si="10"/>
        <v>0</v>
      </c>
      <c r="AF24" s="60"/>
      <c r="AG24" s="60">
        <f t="shared" si="11"/>
        <v>0</v>
      </c>
      <c r="AH24" s="60"/>
      <c r="AI24" s="60">
        <f t="shared" si="19"/>
        <v>0</v>
      </c>
      <c r="AJ24" s="60"/>
      <c r="AK24" s="60">
        <f t="shared" si="20"/>
        <v>0</v>
      </c>
      <c r="AL24" s="60"/>
      <c r="AM24" s="60">
        <f t="shared" si="21"/>
        <v>0</v>
      </c>
      <c r="AN24" s="60"/>
      <c r="AO24" s="60">
        <f t="shared" si="12"/>
        <v>0</v>
      </c>
      <c r="AP24" s="60"/>
      <c r="AQ24" s="60">
        <f>ROUND((AP24/100)*$F$30,2)</f>
        <v>0</v>
      </c>
      <c r="AR24" s="60"/>
      <c r="AS24" s="60">
        <f t="shared" si="14"/>
        <v>0</v>
      </c>
      <c r="AT24" s="60">
        <v>1</v>
      </c>
      <c r="AU24" s="60">
        <f t="shared" si="15"/>
        <v>102409.37</v>
      </c>
      <c r="AV24" s="60">
        <v>1</v>
      </c>
      <c r="AW24" s="60">
        <f>ROUND((AV24/100)*$F$30,2)</f>
        <v>102409.37</v>
      </c>
      <c r="AX24" s="60">
        <v>1</v>
      </c>
      <c r="AY24" s="60">
        <f t="shared" si="17"/>
        <v>102409.37</v>
      </c>
      <c r="AZ24" s="60">
        <v>1</v>
      </c>
      <c r="BA24" s="60">
        <f>ROUND((AZ24/100)*$F$30,2)</f>
        <v>102409.37</v>
      </c>
      <c r="BB24" s="60">
        <v>1</v>
      </c>
      <c r="BC24" s="60">
        <f>ROUND((BB24/100)*$F$30,2)</f>
        <v>102409.37</v>
      </c>
      <c r="BD24" s="60">
        <v>0.21</v>
      </c>
      <c r="BE24" s="60">
        <f>ROUND((BD24/100)*$F$30,2)+232.29</f>
        <v>21738.260000000002</v>
      </c>
      <c r="BF24" s="116"/>
      <c r="BG24" s="116"/>
      <c r="BH24" s="116"/>
      <c r="BI24" s="116"/>
      <c r="BJ24" s="116"/>
      <c r="BK24" s="116"/>
      <c r="BL24" s="116"/>
      <c r="BM24" s="116"/>
    </row>
    <row r="25" spans="1:65" s="2" customFormat="1" ht="12.75">
      <c r="A25" s="68">
        <v>12</v>
      </c>
      <c r="B25" s="69" t="s">
        <v>14</v>
      </c>
      <c r="C25" s="70">
        <v>51</v>
      </c>
      <c r="D25" s="71">
        <f>F25/18</f>
        <v>34404.78333333334</v>
      </c>
      <c r="E25" s="72">
        <v>1259.15</v>
      </c>
      <c r="F25" s="73">
        <f>4392.1*141</f>
        <v>619286.1000000001</v>
      </c>
      <c r="G25" s="73">
        <f t="shared" si="0"/>
        <v>6.05</v>
      </c>
      <c r="H25" s="60">
        <f t="shared" si="1"/>
        <v>0</v>
      </c>
      <c r="I25" s="77">
        <v>0</v>
      </c>
      <c r="J25" s="60">
        <v>0.25</v>
      </c>
      <c r="K25" s="60">
        <f t="shared" si="18"/>
        <v>25602.34</v>
      </c>
      <c r="L25" s="60">
        <v>0.25</v>
      </c>
      <c r="M25" s="60">
        <f t="shared" si="2"/>
        <v>25602.34</v>
      </c>
      <c r="N25" s="60">
        <v>0.25</v>
      </c>
      <c r="O25" s="60">
        <f t="shared" si="3"/>
        <v>25602.34</v>
      </c>
      <c r="P25" s="60">
        <v>0.25</v>
      </c>
      <c r="Q25" s="60">
        <f t="shared" si="4"/>
        <v>25602.34</v>
      </c>
      <c r="R25" s="60">
        <v>0.25</v>
      </c>
      <c r="S25" s="60">
        <f t="shared" si="5"/>
        <v>25602.34</v>
      </c>
      <c r="T25" s="60">
        <v>0.25</v>
      </c>
      <c r="U25" s="60">
        <f t="shared" si="6"/>
        <v>25602.34</v>
      </c>
      <c r="V25" s="60">
        <v>0.25</v>
      </c>
      <c r="W25" s="60">
        <f t="shared" si="25"/>
        <v>25602.34</v>
      </c>
      <c r="X25" s="60">
        <v>0.25</v>
      </c>
      <c r="Y25" s="60">
        <f t="shared" si="7"/>
        <v>25602.34</v>
      </c>
      <c r="Z25" s="60">
        <v>0.25</v>
      </c>
      <c r="AA25" s="60">
        <f t="shared" si="8"/>
        <v>25602.34</v>
      </c>
      <c r="AB25" s="60">
        <v>0.25</v>
      </c>
      <c r="AC25" s="60">
        <f t="shared" si="9"/>
        <v>25602.34</v>
      </c>
      <c r="AD25" s="60">
        <v>0.25</v>
      </c>
      <c r="AE25" s="60">
        <f t="shared" si="10"/>
        <v>25602.34</v>
      </c>
      <c r="AF25" s="60">
        <v>0.25</v>
      </c>
      <c r="AG25" s="60">
        <f t="shared" si="11"/>
        <v>25602.34</v>
      </c>
      <c r="AH25" s="60">
        <v>0.25</v>
      </c>
      <c r="AI25" s="60">
        <f t="shared" si="19"/>
        <v>25602.34</v>
      </c>
      <c r="AJ25" s="60">
        <v>0.25</v>
      </c>
      <c r="AK25" s="60">
        <f t="shared" si="20"/>
        <v>25602.34</v>
      </c>
      <c r="AL25" s="60">
        <v>0.25</v>
      </c>
      <c r="AM25" s="60">
        <f t="shared" si="21"/>
        <v>25602.34</v>
      </c>
      <c r="AN25" s="60">
        <v>0.25</v>
      </c>
      <c r="AO25" s="60">
        <f t="shared" si="12"/>
        <v>25602.34</v>
      </c>
      <c r="AP25" s="60">
        <v>0.25</v>
      </c>
      <c r="AQ25" s="60">
        <f>ROUND((AP25/100)*$F$30,2)</f>
        <v>25602.34</v>
      </c>
      <c r="AR25" s="60">
        <v>0.25</v>
      </c>
      <c r="AS25" s="60">
        <f t="shared" si="14"/>
        <v>25602.34</v>
      </c>
      <c r="AT25" s="60">
        <v>0.25</v>
      </c>
      <c r="AU25" s="60">
        <f t="shared" si="15"/>
        <v>25602.34</v>
      </c>
      <c r="AV25" s="60">
        <v>0.25</v>
      </c>
      <c r="AW25" s="60">
        <f>ROUND((AV25/100)*$F$30,2)</f>
        <v>25602.34</v>
      </c>
      <c r="AX25" s="60">
        <v>0.25</v>
      </c>
      <c r="AY25" s="60">
        <f t="shared" si="17"/>
        <v>25602.34</v>
      </c>
      <c r="AZ25" s="60">
        <v>0.25</v>
      </c>
      <c r="BA25" s="60">
        <f t="shared" si="22"/>
        <v>25602.34</v>
      </c>
      <c r="BB25" s="60">
        <v>0.3</v>
      </c>
      <c r="BC25" s="60">
        <f>ROUND((BB25/100)*$F$30,2)-290.53</f>
        <v>30432.280000000002</v>
      </c>
      <c r="BD25" s="60">
        <v>0.25</v>
      </c>
      <c r="BE25" s="60">
        <f>ROUND((BD25/100)*$F$30,2)</f>
        <v>25602.34</v>
      </c>
      <c r="BF25" s="116"/>
      <c r="BG25" s="116"/>
      <c r="BH25" s="116"/>
      <c r="BI25" s="116"/>
      <c r="BJ25" s="116"/>
      <c r="BK25" s="116"/>
      <c r="BL25" s="116"/>
      <c r="BM25" s="116"/>
    </row>
    <row r="26" spans="1:65" s="2" customFormat="1" ht="15.75" customHeight="1">
      <c r="A26" s="68">
        <v>13</v>
      </c>
      <c r="B26" s="69" t="s">
        <v>21</v>
      </c>
      <c r="C26" s="70">
        <v>51</v>
      </c>
      <c r="D26" s="71">
        <f>F26/3</f>
        <v>54855.58000000001</v>
      </c>
      <c r="E26" s="72">
        <v>843.25</v>
      </c>
      <c r="F26" s="73">
        <f>1167.14*141</f>
        <v>164566.74000000002</v>
      </c>
      <c r="G26" s="73">
        <f t="shared" si="0"/>
        <v>1.61</v>
      </c>
      <c r="H26" s="60">
        <f t="shared" si="1"/>
        <v>0</v>
      </c>
      <c r="I26" s="77">
        <v>0</v>
      </c>
      <c r="J26" s="60"/>
      <c r="K26" s="60">
        <f t="shared" si="18"/>
        <v>0</v>
      </c>
      <c r="L26" s="60"/>
      <c r="M26" s="60">
        <f t="shared" si="2"/>
        <v>0</v>
      </c>
      <c r="N26" s="60"/>
      <c r="O26" s="60">
        <f t="shared" si="3"/>
        <v>0</v>
      </c>
      <c r="P26" s="60"/>
      <c r="Q26" s="60">
        <f t="shared" si="4"/>
        <v>0</v>
      </c>
      <c r="R26" s="60"/>
      <c r="S26" s="60">
        <f t="shared" si="5"/>
        <v>0</v>
      </c>
      <c r="T26" s="60"/>
      <c r="U26" s="60">
        <f t="shared" si="6"/>
        <v>0</v>
      </c>
      <c r="V26" s="60"/>
      <c r="W26" s="60">
        <f t="shared" si="25"/>
        <v>0</v>
      </c>
      <c r="X26" s="60"/>
      <c r="Y26" s="60">
        <f t="shared" si="7"/>
        <v>0</v>
      </c>
      <c r="Z26" s="60"/>
      <c r="AA26" s="60">
        <f t="shared" si="8"/>
        <v>0</v>
      </c>
      <c r="AB26" s="60"/>
      <c r="AC26" s="60">
        <f t="shared" si="9"/>
        <v>0</v>
      </c>
      <c r="AD26" s="60"/>
      <c r="AE26" s="60">
        <f t="shared" si="10"/>
        <v>0</v>
      </c>
      <c r="AF26" s="60"/>
      <c r="AG26" s="60">
        <f t="shared" si="11"/>
        <v>0</v>
      </c>
      <c r="AH26" s="60"/>
      <c r="AI26" s="60">
        <f t="shared" si="19"/>
        <v>0</v>
      </c>
      <c r="AJ26" s="60"/>
      <c r="AK26" s="60">
        <f t="shared" si="20"/>
        <v>0</v>
      </c>
      <c r="AL26" s="60"/>
      <c r="AM26" s="60">
        <f t="shared" si="21"/>
        <v>0</v>
      </c>
      <c r="AN26" s="60"/>
      <c r="AO26" s="60">
        <f t="shared" si="12"/>
        <v>0</v>
      </c>
      <c r="AP26" s="60"/>
      <c r="AQ26" s="60">
        <f>ROUND((AP26/100)*$F$30,2)</f>
        <v>0</v>
      </c>
      <c r="AR26" s="60"/>
      <c r="AS26" s="60">
        <f t="shared" si="14"/>
        <v>0</v>
      </c>
      <c r="AT26" s="60"/>
      <c r="AU26" s="60">
        <f>ROUND((AT26/100)*$F$30,2)</f>
        <v>0</v>
      </c>
      <c r="AV26" s="60"/>
      <c r="AW26" s="60">
        <f>ROUND((AV26/100)*$F$30,2)</f>
        <v>0</v>
      </c>
      <c r="AX26" s="60"/>
      <c r="AY26" s="60">
        <f t="shared" si="17"/>
        <v>0</v>
      </c>
      <c r="AZ26" s="60">
        <v>0.53</v>
      </c>
      <c r="BA26" s="60">
        <f>ROUND((AZ26/100)*$F$30,2)</f>
        <v>54276.97</v>
      </c>
      <c r="BB26" s="60">
        <v>0.53</v>
      </c>
      <c r="BC26" s="60">
        <f>ROUND((BB26/100)*$F$30,2)</f>
        <v>54276.97</v>
      </c>
      <c r="BD26" s="60">
        <v>0.55</v>
      </c>
      <c r="BE26" s="60">
        <f>ROUND((BD26/100)*$F$30,2)-312.36</f>
        <v>56012.8</v>
      </c>
      <c r="BF26" s="116"/>
      <c r="BG26" s="116"/>
      <c r="BH26" s="116"/>
      <c r="BI26" s="116"/>
      <c r="BJ26" s="116"/>
      <c r="BK26" s="116"/>
      <c r="BL26" s="116"/>
      <c r="BM26" s="116"/>
    </row>
    <row r="27" spans="1:65" s="2" customFormat="1" ht="15.75" customHeight="1">
      <c r="A27" s="68">
        <v>14</v>
      </c>
      <c r="B27" s="69" t="s">
        <v>15</v>
      </c>
      <c r="C27" s="70"/>
      <c r="D27" s="71"/>
      <c r="E27" s="72"/>
      <c r="F27" s="73">
        <f>5992.7*141</f>
        <v>844970.7</v>
      </c>
      <c r="G27" s="73">
        <f t="shared" si="0"/>
        <v>8.25</v>
      </c>
      <c r="H27" s="60">
        <f t="shared" si="1"/>
        <v>0</v>
      </c>
      <c r="I27" s="77">
        <v>0</v>
      </c>
      <c r="J27" s="60">
        <v>0.34</v>
      </c>
      <c r="K27" s="60">
        <f t="shared" si="18"/>
        <v>34819.19</v>
      </c>
      <c r="L27" s="60">
        <v>0.34</v>
      </c>
      <c r="M27" s="60">
        <f t="shared" si="2"/>
        <v>34819.19</v>
      </c>
      <c r="N27" s="60">
        <v>0.34</v>
      </c>
      <c r="O27" s="60">
        <f t="shared" si="3"/>
        <v>34819.19</v>
      </c>
      <c r="P27" s="60">
        <v>0.34</v>
      </c>
      <c r="Q27" s="60">
        <f t="shared" si="4"/>
        <v>34819.19</v>
      </c>
      <c r="R27" s="60">
        <v>0.34</v>
      </c>
      <c r="S27" s="60">
        <f t="shared" si="5"/>
        <v>34819.19</v>
      </c>
      <c r="T27" s="60">
        <v>0.34</v>
      </c>
      <c r="U27" s="60">
        <f t="shared" si="6"/>
        <v>34819.19</v>
      </c>
      <c r="V27" s="60">
        <v>0.34</v>
      </c>
      <c r="W27" s="60">
        <f t="shared" si="25"/>
        <v>34819.19</v>
      </c>
      <c r="X27" s="60">
        <v>0.34</v>
      </c>
      <c r="Y27" s="60">
        <f t="shared" si="7"/>
        <v>34819.19</v>
      </c>
      <c r="Z27" s="60">
        <v>0.34</v>
      </c>
      <c r="AA27" s="60">
        <f t="shared" si="8"/>
        <v>34819.19</v>
      </c>
      <c r="AB27" s="60">
        <v>0.34</v>
      </c>
      <c r="AC27" s="60">
        <f t="shared" si="9"/>
        <v>34819.19</v>
      </c>
      <c r="AD27" s="60">
        <v>0.34</v>
      </c>
      <c r="AE27" s="60">
        <f t="shared" si="10"/>
        <v>34819.19</v>
      </c>
      <c r="AF27" s="60">
        <v>0.34</v>
      </c>
      <c r="AG27" s="60">
        <f>ROUND((AF27/100)*$F$30,2)</f>
        <v>34819.19</v>
      </c>
      <c r="AH27" s="60">
        <v>0.34</v>
      </c>
      <c r="AI27" s="60">
        <f t="shared" si="19"/>
        <v>34819.19</v>
      </c>
      <c r="AJ27" s="60">
        <v>0.34</v>
      </c>
      <c r="AK27" s="60">
        <f t="shared" si="20"/>
        <v>34819.19</v>
      </c>
      <c r="AL27" s="60">
        <v>0.34</v>
      </c>
      <c r="AM27" s="60">
        <f t="shared" si="21"/>
        <v>34819.19</v>
      </c>
      <c r="AN27" s="60">
        <v>0.34</v>
      </c>
      <c r="AO27" s="60">
        <f t="shared" si="12"/>
        <v>34819.19</v>
      </c>
      <c r="AP27" s="60">
        <v>0.34</v>
      </c>
      <c r="AQ27" s="60">
        <f>ROUND((AP27/100)*$F$30,2)</f>
        <v>34819.19</v>
      </c>
      <c r="AR27" s="60">
        <v>0.34</v>
      </c>
      <c r="AS27" s="60">
        <f t="shared" si="14"/>
        <v>34819.19</v>
      </c>
      <c r="AT27" s="60">
        <v>0.34</v>
      </c>
      <c r="AU27" s="60">
        <f>ROUND((AT27/100)*$F$30,2)</f>
        <v>34819.19</v>
      </c>
      <c r="AV27" s="60">
        <v>0.34</v>
      </c>
      <c r="AW27" s="60">
        <f>ROUND((AV27/100)*$F$30,2)</f>
        <v>34819.19</v>
      </c>
      <c r="AX27" s="60">
        <v>0.35</v>
      </c>
      <c r="AY27" s="60">
        <f t="shared" si="17"/>
        <v>35843.28</v>
      </c>
      <c r="AZ27" s="60">
        <v>0.42</v>
      </c>
      <c r="BA27" s="60">
        <f>ROUND((AZ27/100)*$F$30,2)+93.3</f>
        <v>43105.240000000005</v>
      </c>
      <c r="BB27" s="60">
        <v>0.34</v>
      </c>
      <c r="BC27" s="60">
        <f>ROUND((BB27/100)*$F$30,2)</f>
        <v>34819.19</v>
      </c>
      <c r="BD27" s="60">
        <v>0.34</v>
      </c>
      <c r="BE27" s="60">
        <f>ROUND((BD27/100)*$F$30,2)</f>
        <v>34819.19</v>
      </c>
      <c r="BF27" s="116"/>
      <c r="BG27" s="116"/>
      <c r="BH27" s="116"/>
      <c r="BI27" s="116"/>
      <c r="BJ27" s="116"/>
      <c r="BK27" s="116"/>
      <c r="BL27" s="116"/>
      <c r="BM27" s="116"/>
    </row>
    <row r="28" spans="1:65" s="2" customFormat="1" ht="12.75">
      <c r="A28" s="68">
        <v>15</v>
      </c>
      <c r="B28" s="69" t="s">
        <v>75</v>
      </c>
      <c r="C28" s="69"/>
      <c r="D28" s="69"/>
      <c r="E28" s="72"/>
      <c r="F28" s="74">
        <v>251016.92</v>
      </c>
      <c r="G28" s="73">
        <f>ROUND((F28/$F$30)*100,2)</f>
        <v>2.45</v>
      </c>
      <c r="H28" s="60">
        <f t="shared" si="1"/>
        <v>0</v>
      </c>
      <c r="I28" s="77">
        <v>0</v>
      </c>
      <c r="J28" s="88"/>
      <c r="K28" s="60">
        <f t="shared" si="18"/>
        <v>0</v>
      </c>
      <c r="L28" s="88"/>
      <c r="M28" s="60">
        <f t="shared" si="2"/>
        <v>0</v>
      </c>
      <c r="N28" s="88"/>
      <c r="O28" s="60">
        <f t="shared" si="3"/>
        <v>0</v>
      </c>
      <c r="P28" s="88"/>
      <c r="Q28" s="60">
        <f t="shared" si="4"/>
        <v>0</v>
      </c>
      <c r="R28" s="60"/>
      <c r="S28" s="60">
        <f t="shared" si="5"/>
        <v>0</v>
      </c>
      <c r="T28" s="60"/>
      <c r="U28" s="60">
        <f t="shared" si="6"/>
        <v>0</v>
      </c>
      <c r="V28" s="60"/>
      <c r="W28" s="60">
        <f t="shared" si="25"/>
        <v>0</v>
      </c>
      <c r="X28" s="60"/>
      <c r="Y28" s="60">
        <f t="shared" si="7"/>
        <v>0</v>
      </c>
      <c r="Z28" s="60"/>
      <c r="AA28" s="60">
        <f t="shared" si="8"/>
        <v>0</v>
      </c>
      <c r="AB28" s="60"/>
      <c r="AC28" s="60">
        <f t="shared" si="9"/>
        <v>0</v>
      </c>
      <c r="AD28" s="60"/>
      <c r="AE28" s="60">
        <f t="shared" si="10"/>
        <v>0</v>
      </c>
      <c r="AF28" s="88">
        <v>0.3</v>
      </c>
      <c r="AG28" s="60">
        <f t="shared" si="11"/>
        <v>30722.81</v>
      </c>
      <c r="AH28" s="60">
        <v>0.4</v>
      </c>
      <c r="AI28" s="60">
        <f t="shared" si="19"/>
        <v>40963.75</v>
      </c>
      <c r="AJ28" s="60">
        <v>0.3</v>
      </c>
      <c r="AK28" s="60">
        <f t="shared" si="20"/>
        <v>30722.81</v>
      </c>
      <c r="AL28" s="60">
        <v>0.1</v>
      </c>
      <c r="AM28" s="60">
        <f t="shared" si="21"/>
        <v>10240.94</v>
      </c>
      <c r="AN28" s="88">
        <v>0.5</v>
      </c>
      <c r="AO28" s="60">
        <f t="shared" si="12"/>
        <v>51204.69</v>
      </c>
      <c r="AP28" s="60">
        <v>0.4</v>
      </c>
      <c r="AQ28" s="60">
        <f>ROUND((AP28/100)*$F$30,2)</f>
        <v>40963.75</v>
      </c>
      <c r="AR28" s="60">
        <v>0.3</v>
      </c>
      <c r="AS28" s="60">
        <f>ROUND((AR28/100)*$F$30,2)+113.95</f>
        <v>30836.760000000002</v>
      </c>
      <c r="AT28" s="60">
        <v>0.15</v>
      </c>
      <c r="AU28" s="60">
        <f>ROUND((AT28/100)*$F$30,2)</f>
        <v>15361.41</v>
      </c>
      <c r="AV28" s="60"/>
      <c r="AW28" s="60">
        <f>ROUND((AV28/100)*$F$30,2)</f>
        <v>0</v>
      </c>
      <c r="AX28" s="60"/>
      <c r="AY28" s="60">
        <f t="shared" si="17"/>
        <v>0</v>
      </c>
      <c r="AZ28" s="60"/>
      <c r="BA28" s="60">
        <f>ROUND((AZ28/100)*$F$30,2)</f>
        <v>0</v>
      </c>
      <c r="BB28" s="60"/>
      <c r="BC28" s="60">
        <f>ROUND((BB28/100)*$F$30,2)</f>
        <v>0</v>
      </c>
      <c r="BD28" s="60"/>
      <c r="BE28" s="60">
        <f>ROUND((BD28/100)*$F$30,2)</f>
        <v>0</v>
      </c>
      <c r="BF28" s="117"/>
      <c r="BG28" s="116"/>
      <c r="BH28" s="117"/>
      <c r="BI28" s="116"/>
      <c r="BJ28" s="117"/>
      <c r="BK28" s="116"/>
      <c r="BL28" s="117"/>
      <c r="BM28" s="116"/>
    </row>
    <row r="29" spans="1:65" s="2" customFormat="1" ht="12.75">
      <c r="A29" s="68"/>
      <c r="B29" s="69"/>
      <c r="C29" s="69"/>
      <c r="D29" s="69"/>
      <c r="E29" s="72"/>
      <c r="F29" s="74"/>
      <c r="G29" s="73"/>
      <c r="H29" s="60"/>
      <c r="I29" s="77"/>
      <c r="J29" s="88"/>
      <c r="K29" s="60"/>
      <c r="L29" s="88"/>
      <c r="M29" s="60"/>
      <c r="N29" s="88"/>
      <c r="O29" s="60"/>
      <c r="P29" s="88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88"/>
      <c r="AG29" s="60"/>
      <c r="AH29" s="60"/>
      <c r="AI29" s="60"/>
      <c r="AJ29" s="60"/>
      <c r="AK29" s="60"/>
      <c r="AL29" s="60"/>
      <c r="AM29" s="60"/>
      <c r="AN29" s="88"/>
      <c r="AO29" s="60"/>
      <c r="AP29" s="60"/>
      <c r="AQ29" s="60"/>
      <c r="AR29" s="208"/>
      <c r="AS29" s="60"/>
      <c r="AT29" s="208"/>
      <c r="AU29" s="60"/>
      <c r="AV29" s="208"/>
      <c r="AW29" s="60"/>
      <c r="AX29" s="208"/>
      <c r="AY29" s="60"/>
      <c r="AZ29" s="193"/>
      <c r="BA29" s="60"/>
      <c r="BB29" s="193"/>
      <c r="BC29" s="60"/>
      <c r="BD29" s="193"/>
      <c r="BE29" s="60"/>
      <c r="BF29" s="117"/>
      <c r="BG29" s="116"/>
      <c r="BH29" s="117"/>
      <c r="BI29" s="116"/>
      <c r="BJ29" s="117"/>
      <c r="BK29" s="116"/>
      <c r="BL29" s="117"/>
      <c r="BM29" s="116"/>
    </row>
    <row r="30" spans="1:65" s="2" customFormat="1" ht="13.5" thickBot="1">
      <c r="A30" s="68"/>
      <c r="B30" s="75" t="s">
        <v>35</v>
      </c>
      <c r="C30" s="75"/>
      <c r="D30" s="75"/>
      <c r="E30" s="76">
        <f>SUM(E13:E28)</f>
        <v>14579.310000000003</v>
      </c>
      <c r="F30" s="113">
        <f>SUM(F13:F29)</f>
        <v>10240937.419999998</v>
      </c>
      <c r="G30" s="76">
        <f>SUM(G13:G29)</f>
        <v>100.00000000000001</v>
      </c>
      <c r="H30" s="76">
        <f aca="true" t="shared" si="26" ref="H30:BA30">SUM(H13:H29)</f>
        <v>0</v>
      </c>
      <c r="I30" s="76">
        <f t="shared" si="26"/>
        <v>0</v>
      </c>
      <c r="J30" s="76">
        <f>SUM(J13:J29)</f>
        <v>1.74</v>
      </c>
      <c r="K30" s="76">
        <f t="shared" si="26"/>
        <v>177825.13</v>
      </c>
      <c r="L30" s="76">
        <f t="shared" si="26"/>
        <v>3.69</v>
      </c>
      <c r="M30" s="76">
        <f t="shared" si="26"/>
        <v>377556.24</v>
      </c>
      <c r="N30" s="76">
        <f t="shared" si="26"/>
        <v>5.04</v>
      </c>
      <c r="O30" s="76">
        <f t="shared" si="26"/>
        <v>516086.4</v>
      </c>
      <c r="P30" s="76">
        <f t="shared" si="26"/>
        <v>7.859999999999999</v>
      </c>
      <c r="Q30" s="76">
        <f t="shared" si="26"/>
        <v>804937.6699999999</v>
      </c>
      <c r="R30" s="76">
        <f t="shared" si="26"/>
        <v>8.05</v>
      </c>
      <c r="S30" s="76">
        <f t="shared" si="26"/>
        <v>824395.46</v>
      </c>
      <c r="T30" s="76">
        <f t="shared" si="26"/>
        <v>8.25</v>
      </c>
      <c r="U30" s="76">
        <f t="shared" si="26"/>
        <v>844877.3299999998</v>
      </c>
      <c r="V30" s="76">
        <f t="shared" si="26"/>
        <v>8.34</v>
      </c>
      <c r="W30" s="76">
        <f t="shared" si="26"/>
        <v>854094.1799999999</v>
      </c>
      <c r="X30" s="76">
        <f t="shared" si="26"/>
        <v>8.17</v>
      </c>
      <c r="Y30" s="76">
        <f t="shared" si="26"/>
        <v>836860.55</v>
      </c>
      <c r="Z30" s="76">
        <f t="shared" si="26"/>
        <v>6.370000000000001</v>
      </c>
      <c r="AA30" s="76">
        <f t="shared" si="26"/>
        <v>652347.71</v>
      </c>
      <c r="AB30" s="76">
        <f t="shared" si="26"/>
        <v>6.3100000000000005</v>
      </c>
      <c r="AC30" s="76">
        <f t="shared" si="26"/>
        <v>646203.1399999999</v>
      </c>
      <c r="AD30" s="76">
        <f t="shared" si="26"/>
        <v>4.96</v>
      </c>
      <c r="AE30" s="76">
        <f t="shared" si="26"/>
        <v>507950.49</v>
      </c>
      <c r="AF30" s="76">
        <f t="shared" si="26"/>
        <v>3.2199999999999998</v>
      </c>
      <c r="AG30" s="76">
        <f t="shared" si="26"/>
        <v>328813.12</v>
      </c>
      <c r="AH30" s="76">
        <f t="shared" si="26"/>
        <v>2.59</v>
      </c>
      <c r="AI30" s="76">
        <f t="shared" si="26"/>
        <v>265240.28</v>
      </c>
      <c r="AJ30" s="76">
        <f t="shared" si="26"/>
        <v>2.59</v>
      </c>
      <c r="AK30" s="76">
        <f t="shared" si="26"/>
        <v>266731.28</v>
      </c>
      <c r="AL30" s="76">
        <f t="shared" si="26"/>
        <v>2.53</v>
      </c>
      <c r="AM30" s="76">
        <f t="shared" si="26"/>
        <v>259679.76</v>
      </c>
      <c r="AN30" s="76">
        <f t="shared" si="26"/>
        <v>2.49</v>
      </c>
      <c r="AO30" s="76">
        <f t="shared" si="26"/>
        <v>254999.34</v>
      </c>
      <c r="AP30" s="76">
        <f t="shared" si="26"/>
        <v>2.43</v>
      </c>
      <c r="AQ30" s="76">
        <f t="shared" si="26"/>
        <v>248470.61000000002</v>
      </c>
      <c r="AR30" s="76">
        <f t="shared" si="26"/>
        <v>2.3899999999999997</v>
      </c>
      <c r="AS30" s="76">
        <f>SUM(AS13:AS29)</f>
        <v>244872.35</v>
      </c>
      <c r="AT30" s="76">
        <f t="shared" si="26"/>
        <v>2.34</v>
      </c>
      <c r="AU30" s="76">
        <f>SUM(AU13:AU29)</f>
        <v>239637.94</v>
      </c>
      <c r="AV30" s="76">
        <f t="shared" si="26"/>
        <v>2.32</v>
      </c>
      <c r="AW30" s="76">
        <f>SUM(AW13:AW29)</f>
        <v>237589.75</v>
      </c>
      <c r="AX30" s="76">
        <f t="shared" si="26"/>
        <v>2.3</v>
      </c>
      <c r="AY30" s="76">
        <f>SUM(AY13:AY29)</f>
        <v>235541.55</v>
      </c>
      <c r="AZ30" s="76">
        <f t="shared" si="26"/>
        <v>2.3000000000000003</v>
      </c>
      <c r="BA30" s="76">
        <f t="shared" si="26"/>
        <v>235634.86</v>
      </c>
      <c r="BB30" s="76">
        <f>SUM(BB13:BB29)</f>
        <v>2.27</v>
      </c>
      <c r="BC30" s="76">
        <f>SUM(BC13:BC29)</f>
        <v>232178.75</v>
      </c>
      <c r="BD30" s="84">
        <f>SUM(BD13:BD29)</f>
        <v>1.4500000000000002</v>
      </c>
      <c r="BE30" s="84">
        <f>SUM(BE13:BE29)</f>
        <v>148413.53000000003</v>
      </c>
      <c r="BF30" s="117"/>
      <c r="BG30" s="116"/>
      <c r="BH30" s="117"/>
      <c r="BI30" s="116"/>
      <c r="BJ30" s="117"/>
      <c r="BK30" s="116"/>
      <c r="BL30" s="117"/>
      <c r="BM30" s="116"/>
    </row>
    <row r="31" spans="1:65" s="2" customFormat="1" ht="13.5" thickBot="1">
      <c r="A31" s="137"/>
      <c r="B31" s="138"/>
      <c r="C31" s="138"/>
      <c r="D31" s="138"/>
      <c r="E31" s="139"/>
      <c r="F31" s="140"/>
      <c r="G31" s="139"/>
      <c r="H31" s="141"/>
      <c r="I31" s="142"/>
      <c r="J31" s="143"/>
      <c r="K31" s="142"/>
      <c r="L31" s="143"/>
      <c r="M31" s="142"/>
      <c r="N31" s="143"/>
      <c r="O31" s="142"/>
      <c r="P31" s="143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142"/>
      <c r="AH31" s="143"/>
      <c r="AI31" s="142"/>
      <c r="AJ31" s="143"/>
      <c r="AK31" s="142"/>
      <c r="AL31" s="143"/>
      <c r="AM31" s="142"/>
      <c r="AN31" s="143"/>
      <c r="AO31" s="142"/>
      <c r="AP31" s="143"/>
      <c r="AQ31" s="142"/>
      <c r="AR31" s="142"/>
      <c r="AS31" s="142"/>
      <c r="AT31" s="142"/>
      <c r="AU31" s="142"/>
      <c r="AV31" s="142"/>
      <c r="AW31" s="142"/>
      <c r="AX31" s="142"/>
      <c r="AY31" s="142"/>
      <c r="AZ31" s="143"/>
      <c r="BA31" s="142"/>
      <c r="BB31" s="143"/>
      <c r="BC31" s="142"/>
      <c r="BD31" s="180"/>
      <c r="BE31" s="179"/>
      <c r="BF31" s="117"/>
      <c r="BG31" s="116"/>
      <c r="BH31" s="117"/>
      <c r="BI31" s="116"/>
      <c r="BJ31" s="117"/>
      <c r="BK31" s="116"/>
      <c r="BL31" s="117"/>
      <c r="BM31" s="116"/>
    </row>
    <row r="32" spans="1:65" s="2" customFormat="1" ht="12.75">
      <c r="A32" s="48" t="s">
        <v>16</v>
      </c>
      <c r="B32" s="49"/>
      <c r="C32" s="50"/>
      <c r="D32" s="50"/>
      <c r="E32" s="50"/>
      <c r="F32" s="61" t="s">
        <v>17</v>
      </c>
      <c r="G32" s="20"/>
      <c r="H32" s="92">
        <f aca="true" t="shared" si="27" ref="H32:BA32">H30</f>
        <v>0</v>
      </c>
      <c r="I32" s="93">
        <f t="shared" si="27"/>
        <v>0</v>
      </c>
      <c r="J32" s="92">
        <f t="shared" si="27"/>
        <v>1.74</v>
      </c>
      <c r="K32" s="93">
        <f t="shared" si="27"/>
        <v>177825.13</v>
      </c>
      <c r="L32" s="92">
        <f t="shared" si="27"/>
        <v>3.69</v>
      </c>
      <c r="M32" s="93">
        <f t="shared" si="27"/>
        <v>377556.24</v>
      </c>
      <c r="N32" s="92">
        <f t="shared" si="27"/>
        <v>5.04</v>
      </c>
      <c r="O32" s="93">
        <f t="shared" si="27"/>
        <v>516086.4</v>
      </c>
      <c r="P32" s="92">
        <f t="shared" si="27"/>
        <v>7.859999999999999</v>
      </c>
      <c r="Q32" s="93">
        <f t="shared" si="27"/>
        <v>804937.6699999999</v>
      </c>
      <c r="R32" s="92">
        <f t="shared" si="27"/>
        <v>8.05</v>
      </c>
      <c r="S32" s="93">
        <f t="shared" si="27"/>
        <v>824395.46</v>
      </c>
      <c r="T32" s="92">
        <f t="shared" si="27"/>
        <v>8.25</v>
      </c>
      <c r="U32" s="93">
        <f t="shared" si="27"/>
        <v>844877.3299999998</v>
      </c>
      <c r="V32" s="92">
        <f t="shared" si="27"/>
        <v>8.34</v>
      </c>
      <c r="W32" s="93">
        <f t="shared" si="27"/>
        <v>854094.1799999999</v>
      </c>
      <c r="X32" s="92">
        <f t="shared" si="27"/>
        <v>8.17</v>
      </c>
      <c r="Y32" s="93">
        <f t="shared" si="27"/>
        <v>836860.55</v>
      </c>
      <c r="Z32" s="92">
        <f t="shared" si="27"/>
        <v>6.370000000000001</v>
      </c>
      <c r="AA32" s="93">
        <f t="shared" si="27"/>
        <v>652347.71</v>
      </c>
      <c r="AB32" s="92">
        <f t="shared" si="27"/>
        <v>6.3100000000000005</v>
      </c>
      <c r="AC32" s="93">
        <f t="shared" si="27"/>
        <v>646203.1399999999</v>
      </c>
      <c r="AD32" s="92">
        <f t="shared" si="27"/>
        <v>4.96</v>
      </c>
      <c r="AE32" s="93">
        <f t="shared" si="27"/>
        <v>507950.49</v>
      </c>
      <c r="AF32" s="92">
        <f t="shared" si="27"/>
        <v>3.2199999999999998</v>
      </c>
      <c r="AG32" s="93">
        <f t="shared" si="27"/>
        <v>328813.12</v>
      </c>
      <c r="AH32" s="92">
        <f t="shared" si="27"/>
        <v>2.59</v>
      </c>
      <c r="AI32" s="93">
        <f t="shared" si="27"/>
        <v>265240.28</v>
      </c>
      <c r="AJ32" s="92">
        <f t="shared" si="27"/>
        <v>2.59</v>
      </c>
      <c r="AK32" s="93">
        <f t="shared" si="27"/>
        <v>266731.28</v>
      </c>
      <c r="AL32" s="92">
        <f t="shared" si="27"/>
        <v>2.53</v>
      </c>
      <c r="AM32" s="93">
        <f t="shared" si="27"/>
        <v>259679.76</v>
      </c>
      <c r="AN32" s="92">
        <f t="shared" si="27"/>
        <v>2.49</v>
      </c>
      <c r="AO32" s="93">
        <f t="shared" si="27"/>
        <v>254999.34</v>
      </c>
      <c r="AP32" s="92">
        <f t="shared" si="27"/>
        <v>2.43</v>
      </c>
      <c r="AQ32" s="93">
        <f t="shared" si="27"/>
        <v>248470.61000000002</v>
      </c>
      <c r="AR32" s="92">
        <f t="shared" si="27"/>
        <v>2.3899999999999997</v>
      </c>
      <c r="AS32" s="93">
        <f t="shared" si="27"/>
        <v>244872.35</v>
      </c>
      <c r="AT32" s="92">
        <f t="shared" si="27"/>
        <v>2.34</v>
      </c>
      <c r="AU32" s="93">
        <f t="shared" si="27"/>
        <v>239637.94</v>
      </c>
      <c r="AV32" s="92">
        <f t="shared" si="27"/>
        <v>2.32</v>
      </c>
      <c r="AW32" s="93">
        <f t="shared" si="27"/>
        <v>237589.75</v>
      </c>
      <c r="AX32" s="92">
        <f t="shared" si="27"/>
        <v>2.3</v>
      </c>
      <c r="AY32" s="93">
        <f t="shared" si="27"/>
        <v>235541.55</v>
      </c>
      <c r="AZ32" s="92">
        <f t="shared" si="27"/>
        <v>2.3000000000000003</v>
      </c>
      <c r="BA32" s="93">
        <f t="shared" si="27"/>
        <v>235634.86</v>
      </c>
      <c r="BB32" s="92">
        <f>BB30</f>
        <v>2.27</v>
      </c>
      <c r="BC32" s="93">
        <f>BC30</f>
        <v>232178.75</v>
      </c>
      <c r="BD32" s="92">
        <f>BD30</f>
        <v>1.4500000000000002</v>
      </c>
      <c r="BE32" s="93">
        <f>BE30</f>
        <v>148413.53000000003</v>
      </c>
      <c r="BF32" s="117"/>
      <c r="BG32" s="116"/>
      <c r="BH32" s="117"/>
      <c r="BI32" s="116"/>
      <c r="BJ32" s="117"/>
      <c r="BK32" s="116"/>
      <c r="BL32" s="117"/>
      <c r="BM32" s="116"/>
    </row>
    <row r="33" spans="1:65" s="2" customFormat="1" ht="13.5" thickBot="1">
      <c r="A33" s="51"/>
      <c r="B33" s="52"/>
      <c r="C33" s="53"/>
      <c r="D33" s="53"/>
      <c r="E33" s="53"/>
      <c r="F33" s="62" t="s">
        <v>18</v>
      </c>
      <c r="G33" s="54"/>
      <c r="H33" s="194">
        <f>H32</f>
        <v>0</v>
      </c>
      <c r="I33" s="194">
        <f>(G33+I32)</f>
        <v>0</v>
      </c>
      <c r="J33" s="194">
        <f>H33+J32</f>
        <v>1.74</v>
      </c>
      <c r="K33" s="194">
        <f>(I33+K32)</f>
        <v>177825.13</v>
      </c>
      <c r="L33" s="194">
        <f>J32+L32</f>
        <v>5.43</v>
      </c>
      <c r="M33" s="194">
        <f>(K33+M32)</f>
        <v>555381.37</v>
      </c>
      <c r="N33" s="194">
        <f>L33+N32</f>
        <v>10.469999999999999</v>
      </c>
      <c r="O33" s="194">
        <f>(M33+O32)</f>
        <v>1071467.77</v>
      </c>
      <c r="P33" s="194">
        <f>N33+P32</f>
        <v>18.33</v>
      </c>
      <c r="Q33" s="194">
        <f>(O33+Q32)</f>
        <v>1876405.44</v>
      </c>
      <c r="R33" s="194">
        <f>P33+R32</f>
        <v>26.38</v>
      </c>
      <c r="S33" s="194">
        <f>(Q33+S32)</f>
        <v>2700800.9</v>
      </c>
      <c r="T33" s="194">
        <f>R33+T32</f>
        <v>34.629999999999995</v>
      </c>
      <c r="U33" s="194">
        <f>(S33+U32)</f>
        <v>3545678.2299999995</v>
      </c>
      <c r="V33" s="194">
        <f>T33+V32</f>
        <v>42.97</v>
      </c>
      <c r="W33" s="194">
        <f>(U33+W32)</f>
        <v>4399772.409999999</v>
      </c>
      <c r="X33" s="194">
        <f>V33+X32</f>
        <v>51.14</v>
      </c>
      <c r="Y33" s="194">
        <f>(W33+Y32)</f>
        <v>5236632.959999999</v>
      </c>
      <c r="Z33" s="194">
        <f>X33+Z32</f>
        <v>57.510000000000005</v>
      </c>
      <c r="AA33" s="194">
        <f>(Y33+AA32)</f>
        <v>5888980.669999999</v>
      </c>
      <c r="AB33" s="194">
        <f>Z33+AB32</f>
        <v>63.82000000000001</v>
      </c>
      <c r="AC33" s="194">
        <f>(AA33+AC32)</f>
        <v>6535183.809999999</v>
      </c>
      <c r="AD33" s="194">
        <f>AB33+AD32</f>
        <v>68.78</v>
      </c>
      <c r="AE33" s="194">
        <f>(AC33+AE32)</f>
        <v>7043134.299999999</v>
      </c>
      <c r="AF33" s="194">
        <f>AD33+AF32</f>
        <v>72</v>
      </c>
      <c r="AG33" s="194">
        <f>(AE33+AG32)</f>
        <v>7371947.419999999</v>
      </c>
      <c r="AH33" s="194">
        <f>AF33+AH32</f>
        <v>74.59</v>
      </c>
      <c r="AI33" s="194">
        <f>(AG33+AI32)</f>
        <v>7637187.699999999</v>
      </c>
      <c r="AJ33" s="194">
        <f>AH33+AJ32</f>
        <v>77.18</v>
      </c>
      <c r="AK33" s="194">
        <f>(AI33+AK32)</f>
        <v>7903918.9799999995</v>
      </c>
      <c r="AL33" s="194">
        <f>AJ33+AL32</f>
        <v>79.71000000000001</v>
      </c>
      <c r="AM33" s="194">
        <f>(AK33+AM32)</f>
        <v>8163598.739999999</v>
      </c>
      <c r="AN33" s="194">
        <f>AL33+AN32</f>
        <v>82.2</v>
      </c>
      <c r="AO33" s="194">
        <f>(AM33+AO32)</f>
        <v>8418598.08</v>
      </c>
      <c r="AP33" s="194">
        <f>AN33+AP32</f>
        <v>84.63000000000001</v>
      </c>
      <c r="AQ33" s="194">
        <f>(AO33+AQ32)</f>
        <v>8667068.69</v>
      </c>
      <c r="AR33" s="194">
        <f>AP33+AR32</f>
        <v>87.02000000000001</v>
      </c>
      <c r="AS33" s="194">
        <f>(AQ33+AS32)</f>
        <v>8911941.04</v>
      </c>
      <c r="AT33" s="194">
        <f>AR33+AT32</f>
        <v>89.36000000000001</v>
      </c>
      <c r="AU33" s="194">
        <f>(AS33+AU32)</f>
        <v>9151578.979999999</v>
      </c>
      <c r="AV33" s="194">
        <f>AT33+AV32</f>
        <v>91.68</v>
      </c>
      <c r="AW33" s="194">
        <f>(AU33+AW32)</f>
        <v>9389168.729999999</v>
      </c>
      <c r="AX33" s="194">
        <f aca="true" t="shared" si="28" ref="AX33:BE33">AV33+AX32</f>
        <v>93.98</v>
      </c>
      <c r="AY33" s="194">
        <f t="shared" si="28"/>
        <v>9624710.28</v>
      </c>
      <c r="AZ33" s="194">
        <f t="shared" si="28"/>
        <v>96.28</v>
      </c>
      <c r="BA33" s="194">
        <f t="shared" si="28"/>
        <v>9860345.139999999</v>
      </c>
      <c r="BB33" s="194">
        <f t="shared" si="28"/>
        <v>98.55</v>
      </c>
      <c r="BC33" s="194">
        <f t="shared" si="28"/>
        <v>10092523.889999999</v>
      </c>
      <c r="BD33" s="194">
        <f t="shared" si="28"/>
        <v>100</v>
      </c>
      <c r="BE33" s="194">
        <f t="shared" si="28"/>
        <v>10240937.419999998</v>
      </c>
      <c r="BF33" s="118"/>
      <c r="BG33" s="116"/>
      <c r="BH33" s="118"/>
      <c r="BI33" s="116"/>
      <c r="BJ33" s="118"/>
      <c r="BK33" s="116"/>
      <c r="BL33" s="118"/>
      <c r="BM33" s="116"/>
    </row>
    <row r="34" spans="37:53" ht="12.75">
      <c r="AK34" s="119"/>
      <c r="BA34" s="188"/>
    </row>
    <row r="35" spans="1:65" s="2" customFormat="1" ht="12.75">
      <c r="A35" s="97"/>
      <c r="B35" s="55"/>
      <c r="C35" s="55"/>
      <c r="D35" s="55"/>
      <c r="E35" s="55"/>
      <c r="F35" s="98"/>
      <c r="G35" s="3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118"/>
      <c r="BG35" s="116"/>
      <c r="BH35" s="118"/>
      <c r="BI35" s="116"/>
      <c r="BJ35" s="118"/>
      <c r="BK35" s="116"/>
      <c r="BL35" s="118"/>
      <c r="BM35" s="116"/>
    </row>
    <row r="36" spans="1:65" s="2" customFormat="1" ht="15">
      <c r="A36" s="3" t="s">
        <v>86</v>
      </c>
      <c r="B36" s="3"/>
      <c r="C36" s="3"/>
      <c r="D36" s="3"/>
      <c r="E36" s="25"/>
      <c r="F36" s="26"/>
      <c r="G36" s="4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9"/>
      <c r="AK36" s="29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9"/>
      <c r="BA36" s="29"/>
      <c r="BB36" s="17"/>
      <c r="BC36" s="17"/>
      <c r="BD36" s="17"/>
      <c r="BE36" s="17"/>
      <c r="BF36" s="117"/>
      <c r="BG36" s="116"/>
      <c r="BH36" s="117"/>
      <c r="BI36" s="116"/>
      <c r="BJ36" s="117"/>
      <c r="BK36" s="116"/>
      <c r="BL36" s="117"/>
      <c r="BM36" s="116"/>
    </row>
    <row r="37" spans="2:65" s="2" customFormat="1" ht="15.75" thickBot="1">
      <c r="B37" s="3"/>
      <c r="C37" s="3"/>
      <c r="D37" s="3"/>
      <c r="E37" s="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9"/>
      <c r="BB37" s="17"/>
      <c r="BC37" s="17"/>
      <c r="BD37" s="17"/>
      <c r="BE37" s="17"/>
      <c r="BF37" s="117"/>
      <c r="BG37" s="116"/>
      <c r="BH37" s="117"/>
      <c r="BI37" s="116"/>
      <c r="BJ37" s="117"/>
      <c r="BK37" s="116"/>
      <c r="BL37" s="117"/>
      <c r="BM37" s="116"/>
    </row>
    <row r="38" spans="1:65" s="2" customFormat="1" ht="13.5" thickBot="1">
      <c r="A38" s="102" t="s">
        <v>0</v>
      </c>
      <c r="B38" s="102" t="s">
        <v>1</v>
      </c>
      <c r="C38" s="5"/>
      <c r="D38" s="5"/>
      <c r="E38" s="5"/>
      <c r="F38" s="103" t="s">
        <v>2</v>
      </c>
      <c r="G38" s="103" t="s">
        <v>3</v>
      </c>
      <c r="H38" s="255" t="s">
        <v>76</v>
      </c>
      <c r="I38" s="256"/>
      <c r="J38" s="249" t="s">
        <v>49</v>
      </c>
      <c r="K38" s="250"/>
      <c r="L38" s="249" t="s">
        <v>50</v>
      </c>
      <c r="M38" s="250"/>
      <c r="N38" s="249" t="s">
        <v>51</v>
      </c>
      <c r="O38" s="250"/>
      <c r="P38" s="249" t="s">
        <v>52</v>
      </c>
      <c r="Q38" s="250"/>
      <c r="R38" s="249" t="s">
        <v>53</v>
      </c>
      <c r="S38" s="250"/>
      <c r="T38" s="249" t="s">
        <v>54</v>
      </c>
      <c r="U38" s="250"/>
      <c r="V38" s="249" t="s">
        <v>55</v>
      </c>
      <c r="W38" s="250"/>
      <c r="X38" s="249" t="s">
        <v>56</v>
      </c>
      <c r="Y38" s="250"/>
      <c r="Z38" s="249" t="s">
        <v>57</v>
      </c>
      <c r="AA38" s="250"/>
      <c r="AB38" s="249" t="s">
        <v>58</v>
      </c>
      <c r="AC38" s="250"/>
      <c r="AD38" s="249" t="s">
        <v>59</v>
      </c>
      <c r="AE38" s="250"/>
      <c r="AF38" s="249" t="s">
        <v>60</v>
      </c>
      <c r="AG38" s="250"/>
      <c r="AH38" s="249" t="s">
        <v>61</v>
      </c>
      <c r="AI38" s="250"/>
      <c r="AJ38" s="249" t="s">
        <v>62</v>
      </c>
      <c r="AK38" s="250"/>
      <c r="AL38" s="249" t="s">
        <v>63</v>
      </c>
      <c r="AM38" s="250"/>
      <c r="AN38" s="249" t="s">
        <v>64</v>
      </c>
      <c r="AO38" s="250"/>
      <c r="AP38" s="249" t="s">
        <v>65</v>
      </c>
      <c r="AQ38" s="250"/>
      <c r="AR38" s="249" t="s">
        <v>66</v>
      </c>
      <c r="AS38" s="250"/>
      <c r="AT38" s="251" t="s">
        <v>67</v>
      </c>
      <c r="AU38" s="250"/>
      <c r="AV38" s="249" t="s">
        <v>68</v>
      </c>
      <c r="AW38" s="250"/>
      <c r="AX38" s="251" t="s">
        <v>69</v>
      </c>
      <c r="AY38" s="250"/>
      <c r="AZ38" s="249" t="s">
        <v>70</v>
      </c>
      <c r="BA38" s="250"/>
      <c r="BB38" s="249" t="s">
        <v>71</v>
      </c>
      <c r="BC38" s="253"/>
      <c r="BD38" s="249" t="s">
        <v>72</v>
      </c>
      <c r="BE38" s="254"/>
      <c r="BF38" s="117"/>
      <c r="BG38" s="116"/>
      <c r="BH38" s="117"/>
      <c r="BI38" s="116"/>
      <c r="BJ38" s="117"/>
      <c r="BK38" s="116"/>
      <c r="BL38" s="117"/>
      <c r="BM38" s="116"/>
    </row>
    <row r="39" spans="1:65" s="2" customFormat="1" ht="13.5" thickBot="1">
      <c r="A39" s="231"/>
      <c r="B39" s="6"/>
      <c r="C39" s="6"/>
      <c r="D39" s="27" t="s">
        <v>28</v>
      </c>
      <c r="E39" s="6"/>
      <c r="F39" s="104" t="s">
        <v>4</v>
      </c>
      <c r="G39" s="104" t="s">
        <v>5</v>
      </c>
      <c r="H39" s="108" t="s">
        <v>5</v>
      </c>
      <c r="I39" s="109" t="s">
        <v>6</v>
      </c>
      <c r="J39" s="110" t="s">
        <v>5</v>
      </c>
      <c r="K39" s="111" t="s">
        <v>6</v>
      </c>
      <c r="L39" s="110" t="s">
        <v>5</v>
      </c>
      <c r="M39" s="111" t="s">
        <v>6</v>
      </c>
      <c r="N39" s="110" t="s">
        <v>5</v>
      </c>
      <c r="O39" s="111" t="s">
        <v>6</v>
      </c>
      <c r="P39" s="110" t="s">
        <v>5</v>
      </c>
      <c r="Q39" s="111" t="s">
        <v>6</v>
      </c>
      <c r="R39" s="110" t="s">
        <v>5</v>
      </c>
      <c r="S39" s="111" t="s">
        <v>6</v>
      </c>
      <c r="T39" s="110" t="s">
        <v>5</v>
      </c>
      <c r="U39" s="111" t="s">
        <v>6</v>
      </c>
      <c r="V39" s="110" t="s">
        <v>5</v>
      </c>
      <c r="W39" s="111" t="s">
        <v>6</v>
      </c>
      <c r="X39" s="110" t="s">
        <v>5</v>
      </c>
      <c r="Y39" s="111" t="s">
        <v>6</v>
      </c>
      <c r="Z39" s="110" t="s">
        <v>5</v>
      </c>
      <c r="AA39" s="111" t="s">
        <v>6</v>
      </c>
      <c r="AB39" s="110" t="s">
        <v>5</v>
      </c>
      <c r="AC39" s="111" t="s">
        <v>6</v>
      </c>
      <c r="AD39" s="110" t="s">
        <v>5</v>
      </c>
      <c r="AE39" s="111" t="s">
        <v>6</v>
      </c>
      <c r="AF39" s="110" t="s">
        <v>5</v>
      </c>
      <c r="AG39" s="112" t="s">
        <v>6</v>
      </c>
      <c r="AH39" s="110" t="s">
        <v>5</v>
      </c>
      <c r="AI39" s="112" t="s">
        <v>6</v>
      </c>
      <c r="AJ39" s="110" t="s">
        <v>5</v>
      </c>
      <c r="AK39" s="125" t="s">
        <v>6</v>
      </c>
      <c r="AL39" s="110" t="s">
        <v>5</v>
      </c>
      <c r="AM39" s="111" t="s">
        <v>6</v>
      </c>
      <c r="AN39" s="110" t="s">
        <v>5</v>
      </c>
      <c r="AO39" s="112" t="s">
        <v>6</v>
      </c>
      <c r="AP39" s="110" t="s">
        <v>5</v>
      </c>
      <c r="AQ39" s="112" t="s">
        <v>6</v>
      </c>
      <c r="AR39" s="110" t="s">
        <v>5</v>
      </c>
      <c r="AS39" s="111" t="s">
        <v>6</v>
      </c>
      <c r="AT39" s="110" t="s">
        <v>5</v>
      </c>
      <c r="AU39" s="111" t="s">
        <v>6</v>
      </c>
      <c r="AV39" s="110" t="s">
        <v>5</v>
      </c>
      <c r="AW39" s="111" t="s">
        <v>6</v>
      </c>
      <c r="AX39" s="110" t="s">
        <v>5</v>
      </c>
      <c r="AY39" s="112" t="s">
        <v>6</v>
      </c>
      <c r="AZ39" s="110" t="s">
        <v>5</v>
      </c>
      <c r="BA39" s="177" t="s">
        <v>6</v>
      </c>
      <c r="BB39" s="110" t="s">
        <v>5</v>
      </c>
      <c r="BC39" s="112" t="s">
        <v>6</v>
      </c>
      <c r="BD39" s="110" t="s">
        <v>5</v>
      </c>
      <c r="BE39" s="111" t="s">
        <v>6</v>
      </c>
      <c r="BF39" s="117"/>
      <c r="BG39" s="116"/>
      <c r="BH39" s="117"/>
      <c r="BI39" s="116"/>
      <c r="BJ39" s="117"/>
      <c r="BK39" s="116"/>
      <c r="BL39" s="117"/>
      <c r="BM39" s="116"/>
    </row>
    <row r="40" spans="1:65" s="2" customFormat="1" ht="12.75">
      <c r="A40" s="63">
        <v>1</v>
      </c>
      <c r="B40" s="228" t="s">
        <v>46</v>
      </c>
      <c r="C40" s="64">
        <v>51</v>
      </c>
      <c r="D40" s="65">
        <f>F40/6</f>
        <v>27378.184999999998</v>
      </c>
      <c r="E40" s="66">
        <v>865.1</v>
      </c>
      <c r="F40" s="67">
        <v>164269.11</v>
      </c>
      <c r="G40" s="73">
        <f aca="true" t="shared" si="29" ref="G40:G47">ROUND((F40/$F$48)*100,2)</f>
        <v>6.43</v>
      </c>
      <c r="H40" s="60">
        <f aca="true" t="shared" si="30" ref="H40:H47">ROUND((I40/$F$48)*100,2)</f>
        <v>0</v>
      </c>
      <c r="I40" s="59">
        <v>0</v>
      </c>
      <c r="J40" s="59">
        <v>2.23</v>
      </c>
      <c r="K40" s="60">
        <f>ROUND((J40/100)*$F$48,2)-23.24</f>
        <v>56955.29</v>
      </c>
      <c r="L40" s="59">
        <v>2.1</v>
      </c>
      <c r="M40" s="60">
        <f aca="true" t="shared" si="31" ref="M40:M47">ROUND((L40/100)*$F$48,2)</f>
        <v>53656.91</v>
      </c>
      <c r="N40" s="59">
        <v>2.1</v>
      </c>
      <c r="O40" s="60">
        <f aca="true" t="shared" si="32" ref="O40:O47">ROUND((N40/100)*$F$48,2)</f>
        <v>53656.91</v>
      </c>
      <c r="P40" s="59"/>
      <c r="Q40" s="60">
        <f aca="true" t="shared" si="33" ref="Q40:Q47">ROUND((P40/100)*$F$48,2)</f>
        <v>0</v>
      </c>
      <c r="R40" s="99"/>
      <c r="S40" s="60">
        <f aca="true" t="shared" si="34" ref="S40:S47">ROUND((R40/100)*$F$48,2)</f>
        <v>0</v>
      </c>
      <c r="T40" s="99"/>
      <c r="U40" s="60">
        <f aca="true" t="shared" si="35" ref="U40:U47">ROUND((T40/100)*$F$48,2)</f>
        <v>0</v>
      </c>
      <c r="V40" s="99"/>
      <c r="W40" s="60">
        <f>ROUND((V40/100)*$F$48,2)</f>
        <v>0</v>
      </c>
      <c r="X40" s="99"/>
      <c r="Y40" s="60">
        <f>ROUND((X40/100)*$F$48,2)</f>
        <v>0</v>
      </c>
      <c r="Z40" s="59"/>
      <c r="AA40" s="60">
        <f aca="true" t="shared" si="36" ref="AA40:AA47">ROUND((Z40/100)*$F$48,2)</f>
        <v>0</v>
      </c>
      <c r="AB40" s="99"/>
      <c r="AC40" s="60">
        <f aca="true" t="shared" si="37" ref="AC40:AC47">ROUND((AB40/100)*$F$48,2)</f>
        <v>0</v>
      </c>
      <c r="AD40" s="99"/>
      <c r="AE40" s="60">
        <f aca="true" t="shared" si="38" ref="AE40:AE47">ROUND((AD40/100)*$F$48,2)</f>
        <v>0</v>
      </c>
      <c r="AF40" s="99"/>
      <c r="AG40" s="60">
        <f aca="true" t="shared" si="39" ref="AG40:AG45">ROUND((AF40/100)*$F$48,2)</f>
        <v>0</v>
      </c>
      <c r="AH40" s="99"/>
      <c r="AI40" s="60">
        <f aca="true" t="shared" si="40" ref="AI40:AI47">ROUND((AH40/100)*$F$48,2)</f>
        <v>0</v>
      </c>
      <c r="AJ40" s="99"/>
      <c r="AK40" s="60">
        <f aca="true" t="shared" si="41" ref="AK40:AK47">ROUND((AJ40/100)*$F$48,2)</f>
        <v>0</v>
      </c>
      <c r="AL40" s="99"/>
      <c r="AM40" s="60">
        <f aca="true" t="shared" si="42" ref="AM40:AM47">ROUND((AL40/100)*$F$48,2)</f>
        <v>0</v>
      </c>
      <c r="AN40" s="99"/>
      <c r="AO40" s="60">
        <f aca="true" t="shared" si="43" ref="AO40:AO47">ROUND((AN40/100)*$F$48,2)</f>
        <v>0</v>
      </c>
      <c r="AP40" s="59"/>
      <c r="AQ40" s="60">
        <f aca="true" t="shared" si="44" ref="AQ40:AQ47">ROUND((AP40/100)*$F$48,2)</f>
        <v>0</v>
      </c>
      <c r="AR40" s="99"/>
      <c r="AS40" s="60">
        <f aca="true" t="shared" si="45" ref="AS40:AS47">ROUND((AR40/100)*$F$48,2)</f>
        <v>0</v>
      </c>
      <c r="AT40" s="99"/>
      <c r="AU40" s="60">
        <f aca="true" t="shared" si="46" ref="AU40:AU47">ROUND((AT40/100)*$F$48,2)</f>
        <v>0</v>
      </c>
      <c r="AV40" s="99"/>
      <c r="AW40" s="60">
        <f>ROUND((AV40/100)*$F$48,2)</f>
        <v>0</v>
      </c>
      <c r="AX40" s="99"/>
      <c r="AY40" s="60">
        <f aca="true" t="shared" si="47" ref="AY40:AY47">ROUND((AX40/100)*$F$48,2)</f>
        <v>0</v>
      </c>
      <c r="AZ40" s="99"/>
      <c r="BA40" s="60">
        <f aca="true" t="shared" si="48" ref="BA40:BA47">ROUND((AZ40/100)*$F$48,2)</f>
        <v>0</v>
      </c>
      <c r="BB40" s="99"/>
      <c r="BC40" s="60">
        <f aca="true" t="shared" si="49" ref="BC40:BC47">ROUND((BB40/100)*$F$48,2)</f>
        <v>0</v>
      </c>
      <c r="BD40" s="99"/>
      <c r="BE40" s="60">
        <f>ROUND((BD40/100)*$F$48,2)</f>
        <v>0</v>
      </c>
      <c r="BF40" s="117"/>
      <c r="BG40" s="116"/>
      <c r="BH40" s="117"/>
      <c r="BI40" s="116"/>
      <c r="BJ40" s="117"/>
      <c r="BK40" s="116"/>
      <c r="BL40" s="117"/>
      <c r="BM40" s="116"/>
    </row>
    <row r="41" spans="1:65" s="2" customFormat="1" ht="12.75">
      <c r="A41" s="68">
        <v>2</v>
      </c>
      <c r="B41" s="229" t="s">
        <v>44</v>
      </c>
      <c r="C41" s="70">
        <v>51</v>
      </c>
      <c r="D41" s="71">
        <f>F41/19</f>
        <v>4185.381578947368</v>
      </c>
      <c r="E41" s="72">
        <v>461.47</v>
      </c>
      <c r="F41" s="73">
        <v>79522.25</v>
      </c>
      <c r="G41" s="73">
        <f t="shared" si="29"/>
        <v>3.11</v>
      </c>
      <c r="H41" s="60">
        <f t="shared" si="30"/>
        <v>0</v>
      </c>
      <c r="I41" s="77">
        <v>0</v>
      </c>
      <c r="J41" s="60"/>
      <c r="K41" s="60">
        <f aca="true" t="shared" si="50" ref="K41:K47">ROUND((J41/100)*$F$48,2)</f>
        <v>0</v>
      </c>
      <c r="L41" s="60"/>
      <c r="M41" s="60">
        <f t="shared" si="31"/>
        <v>0</v>
      </c>
      <c r="N41" s="60"/>
      <c r="O41" s="60">
        <f t="shared" si="32"/>
        <v>0</v>
      </c>
      <c r="P41" s="60">
        <v>1</v>
      </c>
      <c r="Q41" s="60">
        <f t="shared" si="33"/>
        <v>25550.91</v>
      </c>
      <c r="R41" s="60">
        <v>1</v>
      </c>
      <c r="S41" s="60">
        <f t="shared" si="34"/>
        <v>25550.91</v>
      </c>
      <c r="T41" s="60">
        <v>1</v>
      </c>
      <c r="U41" s="60">
        <f t="shared" si="35"/>
        <v>25550.91</v>
      </c>
      <c r="V41" s="60">
        <v>0.11</v>
      </c>
      <c r="W41" s="60">
        <f>ROUND((V41/100)*$F$48,2)+58.92</f>
        <v>2869.52</v>
      </c>
      <c r="X41" s="60"/>
      <c r="Y41" s="60">
        <f>ROUND((X41/100)*$F$48,2)</f>
        <v>0</v>
      </c>
      <c r="Z41" s="60"/>
      <c r="AA41" s="60">
        <f t="shared" si="36"/>
        <v>0</v>
      </c>
      <c r="AB41" s="60"/>
      <c r="AC41" s="60">
        <f t="shared" si="37"/>
        <v>0</v>
      </c>
      <c r="AD41" s="60"/>
      <c r="AE41" s="60">
        <f t="shared" si="38"/>
        <v>0</v>
      </c>
      <c r="AF41" s="60"/>
      <c r="AG41" s="60">
        <f t="shared" si="39"/>
        <v>0</v>
      </c>
      <c r="AH41" s="60"/>
      <c r="AI41" s="60">
        <f t="shared" si="40"/>
        <v>0</v>
      </c>
      <c r="AJ41" s="60"/>
      <c r="AK41" s="60">
        <f t="shared" si="41"/>
        <v>0</v>
      </c>
      <c r="AL41" s="60"/>
      <c r="AM41" s="60">
        <f t="shared" si="42"/>
        <v>0</v>
      </c>
      <c r="AN41" s="60"/>
      <c r="AO41" s="60">
        <f t="shared" si="43"/>
        <v>0</v>
      </c>
      <c r="AP41" s="60"/>
      <c r="AQ41" s="60">
        <f t="shared" si="44"/>
        <v>0</v>
      </c>
      <c r="AR41" s="60"/>
      <c r="AS41" s="60">
        <f t="shared" si="45"/>
        <v>0</v>
      </c>
      <c r="AT41" s="60"/>
      <c r="AU41" s="60">
        <f t="shared" si="46"/>
        <v>0</v>
      </c>
      <c r="AV41" s="60"/>
      <c r="AW41" s="60">
        <f>ROUND((AV41/100)*$F$48,2)</f>
        <v>0</v>
      </c>
      <c r="AX41" s="60"/>
      <c r="AY41" s="60">
        <f t="shared" si="47"/>
        <v>0</v>
      </c>
      <c r="AZ41" s="60"/>
      <c r="BA41" s="60">
        <f t="shared" si="48"/>
        <v>0</v>
      </c>
      <c r="BB41" s="60"/>
      <c r="BC41" s="60">
        <f t="shared" si="49"/>
        <v>0</v>
      </c>
      <c r="BD41" s="60"/>
      <c r="BE41" s="60">
        <f>ROUND((BD41/100)*$F$48,2)</f>
        <v>0</v>
      </c>
      <c r="BF41" s="117"/>
      <c r="BG41" s="116"/>
      <c r="BH41" s="117"/>
      <c r="BI41" s="116"/>
      <c r="BJ41" s="117"/>
      <c r="BK41" s="116"/>
      <c r="BL41" s="117"/>
      <c r="BM41" s="116"/>
    </row>
    <row r="42" spans="1:65" s="2" customFormat="1" ht="12.75">
      <c r="A42" s="68">
        <v>3</v>
      </c>
      <c r="B42" s="229" t="s">
        <v>45</v>
      </c>
      <c r="C42" s="70">
        <v>51</v>
      </c>
      <c r="D42" s="71">
        <f>F42/19</f>
        <v>8717.126842105263</v>
      </c>
      <c r="E42" s="72">
        <v>901.23</v>
      </c>
      <c r="F42" s="73">
        <v>165625.41</v>
      </c>
      <c r="G42" s="73">
        <f t="shared" si="29"/>
        <v>6.48</v>
      </c>
      <c r="H42" s="60">
        <f t="shared" si="30"/>
        <v>0</v>
      </c>
      <c r="I42" s="77">
        <v>0</v>
      </c>
      <c r="J42" s="60"/>
      <c r="K42" s="60">
        <f t="shared" si="50"/>
        <v>0</v>
      </c>
      <c r="L42" s="60"/>
      <c r="M42" s="60">
        <f t="shared" si="31"/>
        <v>0</v>
      </c>
      <c r="N42" s="60">
        <v>1</v>
      </c>
      <c r="O42" s="60">
        <f t="shared" si="32"/>
        <v>25550.91</v>
      </c>
      <c r="P42" s="60">
        <v>2</v>
      </c>
      <c r="Q42" s="60">
        <f t="shared" si="33"/>
        <v>51101.82</v>
      </c>
      <c r="R42" s="60">
        <v>2</v>
      </c>
      <c r="S42" s="60">
        <f t="shared" si="34"/>
        <v>51101.82</v>
      </c>
      <c r="T42" s="60">
        <v>1</v>
      </c>
      <c r="U42" s="60">
        <f t="shared" si="35"/>
        <v>25550.91</v>
      </c>
      <c r="V42" s="60">
        <v>0.48</v>
      </c>
      <c r="W42" s="60">
        <f>ROUND((V42/100)*$F$48,2)+55.51</f>
        <v>12319.95</v>
      </c>
      <c r="X42" s="60"/>
      <c r="Y42" s="60">
        <f>ROUND((X42/100)*$F$48,2)</f>
        <v>0</v>
      </c>
      <c r="Z42" s="60"/>
      <c r="AA42" s="60">
        <f t="shared" si="36"/>
        <v>0</v>
      </c>
      <c r="AB42" s="60"/>
      <c r="AC42" s="60">
        <f t="shared" si="37"/>
        <v>0</v>
      </c>
      <c r="AD42" s="60"/>
      <c r="AE42" s="60">
        <f t="shared" si="38"/>
        <v>0</v>
      </c>
      <c r="AF42" s="60"/>
      <c r="AG42" s="60">
        <f t="shared" si="39"/>
        <v>0</v>
      </c>
      <c r="AH42" s="60"/>
      <c r="AI42" s="60">
        <f t="shared" si="40"/>
        <v>0</v>
      </c>
      <c r="AJ42" s="60"/>
      <c r="AK42" s="60">
        <f t="shared" si="41"/>
        <v>0</v>
      </c>
      <c r="AL42" s="60"/>
      <c r="AM42" s="60">
        <f t="shared" si="42"/>
        <v>0</v>
      </c>
      <c r="AN42" s="60"/>
      <c r="AO42" s="60">
        <f t="shared" si="43"/>
        <v>0</v>
      </c>
      <c r="AP42" s="60"/>
      <c r="AQ42" s="60">
        <f t="shared" si="44"/>
        <v>0</v>
      </c>
      <c r="AR42" s="60"/>
      <c r="AS42" s="60">
        <f t="shared" si="45"/>
        <v>0</v>
      </c>
      <c r="AT42" s="60"/>
      <c r="AU42" s="60">
        <f t="shared" si="46"/>
        <v>0</v>
      </c>
      <c r="AV42" s="60"/>
      <c r="AW42" s="60">
        <f>ROUND((AV42/100)*$F$48,2)</f>
        <v>0</v>
      </c>
      <c r="AX42" s="60"/>
      <c r="AY42" s="60">
        <f t="shared" si="47"/>
        <v>0</v>
      </c>
      <c r="AZ42" s="60"/>
      <c r="BA42" s="60">
        <f t="shared" si="48"/>
        <v>0</v>
      </c>
      <c r="BB42" s="60"/>
      <c r="BC42" s="60">
        <f t="shared" si="49"/>
        <v>0</v>
      </c>
      <c r="BD42" s="60"/>
      <c r="BE42" s="60">
        <f>ROUND((BD42/100)*$F$48,2)</f>
        <v>0</v>
      </c>
      <c r="BF42" s="117"/>
      <c r="BG42" s="116"/>
      <c r="BH42" s="117"/>
      <c r="BI42" s="116"/>
      <c r="BJ42" s="117"/>
      <c r="BK42" s="116"/>
      <c r="BL42" s="117"/>
      <c r="BM42" s="116"/>
    </row>
    <row r="43" spans="1:65" s="2" customFormat="1" ht="12.75">
      <c r="A43" s="68">
        <v>4</v>
      </c>
      <c r="B43" s="229" t="s">
        <v>47</v>
      </c>
      <c r="C43" s="70">
        <v>51</v>
      </c>
      <c r="D43" s="71">
        <f>F43/6</f>
        <v>44031.78333333333</v>
      </c>
      <c r="E43" s="72">
        <v>673.48</v>
      </c>
      <c r="F43" s="73">
        <v>264190.7</v>
      </c>
      <c r="G43" s="73">
        <f t="shared" si="29"/>
        <v>10.34</v>
      </c>
      <c r="H43" s="60">
        <f t="shared" si="30"/>
        <v>0</v>
      </c>
      <c r="I43" s="87">
        <v>0</v>
      </c>
      <c r="J43" s="60"/>
      <c r="K43" s="60">
        <f t="shared" si="50"/>
        <v>0</v>
      </c>
      <c r="L43" s="60"/>
      <c r="M43" s="60">
        <f t="shared" si="31"/>
        <v>0</v>
      </c>
      <c r="N43" s="60">
        <v>2</v>
      </c>
      <c r="O43" s="60">
        <f t="shared" si="32"/>
        <v>51101.82</v>
      </c>
      <c r="P43" s="60">
        <v>2</v>
      </c>
      <c r="Q43" s="60">
        <f t="shared" si="33"/>
        <v>51101.82</v>
      </c>
      <c r="R43" s="60">
        <v>2</v>
      </c>
      <c r="S43" s="60">
        <f t="shared" si="34"/>
        <v>51101.82</v>
      </c>
      <c r="T43" s="60">
        <v>2</v>
      </c>
      <c r="U43" s="60">
        <f t="shared" si="35"/>
        <v>51101.82</v>
      </c>
      <c r="V43" s="60">
        <v>2</v>
      </c>
      <c r="W43" s="60">
        <f>ROUND((V43/100)*$F$48,2)</f>
        <v>51101.82</v>
      </c>
      <c r="X43" s="60">
        <v>0.34</v>
      </c>
      <c r="Y43" s="60">
        <f>ROUND((X43/100)*$F$48,2)-5.71</f>
        <v>8681.6</v>
      </c>
      <c r="Z43" s="60"/>
      <c r="AA43" s="60">
        <f t="shared" si="36"/>
        <v>0</v>
      </c>
      <c r="AB43" s="60"/>
      <c r="AC43" s="60">
        <f t="shared" si="37"/>
        <v>0</v>
      </c>
      <c r="AD43" s="60"/>
      <c r="AE43" s="60">
        <f t="shared" si="38"/>
        <v>0</v>
      </c>
      <c r="AF43" s="60"/>
      <c r="AG43" s="60">
        <f t="shared" si="39"/>
        <v>0</v>
      </c>
      <c r="AH43" s="60"/>
      <c r="AI43" s="60">
        <f t="shared" si="40"/>
        <v>0</v>
      </c>
      <c r="AJ43" s="60"/>
      <c r="AK43" s="60">
        <f t="shared" si="41"/>
        <v>0</v>
      </c>
      <c r="AL43" s="60"/>
      <c r="AM43" s="60">
        <f t="shared" si="42"/>
        <v>0</v>
      </c>
      <c r="AN43" s="60"/>
      <c r="AO43" s="60">
        <f t="shared" si="43"/>
        <v>0</v>
      </c>
      <c r="AP43" s="60"/>
      <c r="AQ43" s="60">
        <f t="shared" si="44"/>
        <v>0</v>
      </c>
      <c r="AR43" s="60"/>
      <c r="AS43" s="60">
        <f t="shared" si="45"/>
        <v>0</v>
      </c>
      <c r="AT43" s="60"/>
      <c r="AU43" s="60">
        <f t="shared" si="46"/>
        <v>0</v>
      </c>
      <c r="AV43" s="60"/>
      <c r="AW43" s="60">
        <f>ROUND((AV43/100)*$F$48,2)</f>
        <v>0</v>
      </c>
      <c r="AX43" s="60"/>
      <c r="AY43" s="60">
        <f t="shared" si="47"/>
        <v>0</v>
      </c>
      <c r="AZ43" s="60"/>
      <c r="BA43" s="60">
        <f t="shared" si="48"/>
        <v>0</v>
      </c>
      <c r="BB43" s="60"/>
      <c r="BC43" s="60">
        <f t="shared" si="49"/>
        <v>0</v>
      </c>
      <c r="BD43" s="60"/>
      <c r="BE43" s="60">
        <f>ROUND((BD43/100)*$F$48,2)</f>
        <v>0</v>
      </c>
      <c r="BF43" s="117"/>
      <c r="BG43" s="116"/>
      <c r="BH43" s="117"/>
      <c r="BI43" s="116"/>
      <c r="BJ43" s="117"/>
      <c r="BK43" s="116"/>
      <c r="BL43" s="117"/>
      <c r="BM43" s="116"/>
    </row>
    <row r="44" spans="1:65" s="2" customFormat="1" ht="12.75">
      <c r="A44" s="68">
        <v>5</v>
      </c>
      <c r="B44" s="229" t="s">
        <v>48</v>
      </c>
      <c r="C44" s="70">
        <v>51</v>
      </c>
      <c r="D44" s="71">
        <f>F44/20</f>
        <v>23083.4125</v>
      </c>
      <c r="E44" s="72">
        <v>1184.34</v>
      </c>
      <c r="F44" s="73">
        <v>461668.25</v>
      </c>
      <c r="G44" s="73">
        <f t="shared" si="29"/>
        <v>18.07</v>
      </c>
      <c r="H44" s="60">
        <f t="shared" si="30"/>
        <v>0</v>
      </c>
      <c r="I44" s="77">
        <v>0</v>
      </c>
      <c r="J44" s="60"/>
      <c r="K44" s="60">
        <f t="shared" si="50"/>
        <v>0</v>
      </c>
      <c r="L44" s="60"/>
      <c r="M44" s="60">
        <f t="shared" si="31"/>
        <v>0</v>
      </c>
      <c r="N44" s="60"/>
      <c r="O44" s="60">
        <f t="shared" si="32"/>
        <v>0</v>
      </c>
      <c r="P44" s="60"/>
      <c r="Q44" s="60">
        <f t="shared" si="33"/>
        <v>0</v>
      </c>
      <c r="R44" s="60"/>
      <c r="S44" s="60">
        <f t="shared" si="34"/>
        <v>0</v>
      </c>
      <c r="T44" s="60"/>
      <c r="U44" s="60">
        <f t="shared" si="35"/>
        <v>0</v>
      </c>
      <c r="V44" s="60"/>
      <c r="W44" s="60">
        <f>ROUND((V44/100)*$F$48,2)</f>
        <v>0</v>
      </c>
      <c r="X44" s="60"/>
      <c r="Y44" s="60">
        <f>ROUND((X44/100)*$F$48,2)</f>
        <v>0</v>
      </c>
      <c r="Z44" s="60"/>
      <c r="AA44" s="60">
        <f t="shared" si="36"/>
        <v>0</v>
      </c>
      <c r="AB44" s="60"/>
      <c r="AC44" s="60">
        <f t="shared" si="37"/>
        <v>0</v>
      </c>
      <c r="AD44" s="60"/>
      <c r="AE44" s="60">
        <f t="shared" si="38"/>
        <v>0</v>
      </c>
      <c r="AF44" s="60"/>
      <c r="AG44" s="60">
        <f t="shared" si="39"/>
        <v>0</v>
      </c>
      <c r="AH44" s="60"/>
      <c r="AI44" s="60">
        <f t="shared" si="40"/>
        <v>0</v>
      </c>
      <c r="AJ44" s="60"/>
      <c r="AK44" s="60">
        <f t="shared" si="41"/>
        <v>0</v>
      </c>
      <c r="AL44" s="60"/>
      <c r="AM44" s="60">
        <f t="shared" si="42"/>
        <v>0</v>
      </c>
      <c r="AN44" s="60"/>
      <c r="AO44" s="60">
        <f t="shared" si="43"/>
        <v>0</v>
      </c>
      <c r="AP44" s="60"/>
      <c r="AQ44" s="60">
        <f t="shared" si="44"/>
        <v>0</v>
      </c>
      <c r="AR44" s="60"/>
      <c r="AS44" s="60">
        <f t="shared" si="45"/>
        <v>0</v>
      </c>
      <c r="AT44" s="60"/>
      <c r="AU44" s="60">
        <f t="shared" si="46"/>
        <v>0</v>
      </c>
      <c r="AV44" s="60">
        <v>2.07</v>
      </c>
      <c r="AW44" s="60">
        <f>ROUND((AV44/100)*$F$48,2)-36.74</f>
        <v>52853.65</v>
      </c>
      <c r="AX44" s="60">
        <v>4</v>
      </c>
      <c r="AY44" s="60">
        <f t="shared" si="47"/>
        <v>102203.65</v>
      </c>
      <c r="AZ44" s="60">
        <v>4</v>
      </c>
      <c r="BA44" s="60">
        <f t="shared" si="48"/>
        <v>102203.65</v>
      </c>
      <c r="BB44" s="60">
        <v>4</v>
      </c>
      <c r="BC44" s="60">
        <f t="shared" si="49"/>
        <v>102203.65</v>
      </c>
      <c r="BD44" s="60">
        <v>4</v>
      </c>
      <c r="BE44" s="60">
        <f>ROUND((BD44/100)*$F$48,2)</f>
        <v>102203.65</v>
      </c>
      <c r="BF44" s="117"/>
      <c r="BG44" s="116"/>
      <c r="BH44" s="117"/>
      <c r="BI44" s="116"/>
      <c r="BJ44" s="117"/>
      <c r="BK44" s="116"/>
      <c r="BL44" s="117"/>
      <c r="BM44" s="116"/>
    </row>
    <row r="45" spans="1:65" s="2" customFormat="1" ht="12.75">
      <c r="A45" s="68">
        <v>6</v>
      </c>
      <c r="B45" s="229" t="s">
        <v>87</v>
      </c>
      <c r="C45" s="70">
        <v>51</v>
      </c>
      <c r="D45" s="71">
        <f>F45/20</f>
        <v>691.8165</v>
      </c>
      <c r="E45" s="72">
        <v>1184.34</v>
      </c>
      <c r="F45" s="73">
        <v>13836.33</v>
      </c>
      <c r="G45" s="73">
        <f t="shared" si="29"/>
        <v>0.54</v>
      </c>
      <c r="H45" s="60">
        <f t="shared" si="30"/>
        <v>0</v>
      </c>
      <c r="I45" s="77">
        <v>0</v>
      </c>
      <c r="J45" s="60"/>
      <c r="K45" s="60">
        <f t="shared" si="50"/>
        <v>0</v>
      </c>
      <c r="L45" s="60"/>
      <c r="M45" s="60">
        <f t="shared" si="31"/>
        <v>0</v>
      </c>
      <c r="N45" s="60"/>
      <c r="O45" s="60">
        <f t="shared" si="32"/>
        <v>0</v>
      </c>
      <c r="P45" s="60"/>
      <c r="Q45" s="60">
        <f t="shared" si="33"/>
        <v>0</v>
      </c>
      <c r="R45" s="60"/>
      <c r="S45" s="60">
        <f t="shared" si="34"/>
        <v>0</v>
      </c>
      <c r="T45" s="60"/>
      <c r="U45" s="60">
        <f t="shared" si="35"/>
        <v>0</v>
      </c>
      <c r="V45" s="60"/>
      <c r="W45" s="60">
        <f>ROUND((V45/100)*$F$48,2)</f>
        <v>0</v>
      </c>
      <c r="X45" s="60"/>
      <c r="Y45" s="60">
        <f>ROUND((X45/100)*$F$48,2)</f>
        <v>0</v>
      </c>
      <c r="Z45" s="60"/>
      <c r="AA45" s="60">
        <f t="shared" si="36"/>
        <v>0</v>
      </c>
      <c r="AB45" s="60"/>
      <c r="AC45" s="60">
        <f t="shared" si="37"/>
        <v>0</v>
      </c>
      <c r="AD45" s="60"/>
      <c r="AE45" s="60">
        <f t="shared" si="38"/>
        <v>0</v>
      </c>
      <c r="AF45" s="60"/>
      <c r="AG45" s="60">
        <f t="shared" si="39"/>
        <v>0</v>
      </c>
      <c r="AH45" s="60"/>
      <c r="AI45" s="60">
        <f t="shared" si="40"/>
        <v>0</v>
      </c>
      <c r="AJ45" s="60"/>
      <c r="AK45" s="60">
        <f t="shared" si="41"/>
        <v>0</v>
      </c>
      <c r="AL45" s="60"/>
      <c r="AM45" s="60">
        <f t="shared" si="42"/>
        <v>0</v>
      </c>
      <c r="AN45" s="60"/>
      <c r="AO45" s="60">
        <f t="shared" si="43"/>
        <v>0</v>
      </c>
      <c r="AP45" s="60"/>
      <c r="AQ45" s="60">
        <f t="shared" si="44"/>
        <v>0</v>
      </c>
      <c r="AR45" s="60"/>
      <c r="AS45" s="60">
        <f t="shared" si="45"/>
        <v>0</v>
      </c>
      <c r="AT45" s="60"/>
      <c r="AU45" s="60">
        <f t="shared" si="46"/>
        <v>0</v>
      </c>
      <c r="AV45" s="60"/>
      <c r="AW45" s="60">
        <f>ROUND((AV45/100)*$F$48,2)</f>
        <v>0</v>
      </c>
      <c r="AX45" s="60"/>
      <c r="AY45" s="60">
        <f t="shared" si="47"/>
        <v>0</v>
      </c>
      <c r="AZ45" s="60"/>
      <c r="BA45" s="60">
        <f t="shared" si="48"/>
        <v>0</v>
      </c>
      <c r="BB45" s="60">
        <v>0.26</v>
      </c>
      <c r="BC45" s="60">
        <f t="shared" si="49"/>
        <v>6643.24</v>
      </c>
      <c r="BD45" s="60">
        <v>0.28</v>
      </c>
      <c r="BE45" s="60">
        <f>ROUND((BD45/100)*$F$48,2)+38.83</f>
        <v>7193.09</v>
      </c>
      <c r="BF45" s="117"/>
      <c r="BG45" s="116"/>
      <c r="BH45" s="117"/>
      <c r="BI45" s="116"/>
      <c r="BJ45" s="117"/>
      <c r="BK45" s="116"/>
      <c r="BL45" s="117"/>
      <c r="BM45" s="116"/>
    </row>
    <row r="46" spans="1:65" s="2" customFormat="1" ht="12.75">
      <c r="A46" s="68">
        <v>7</v>
      </c>
      <c r="B46" s="229" t="s">
        <v>79</v>
      </c>
      <c r="C46" s="70">
        <v>51</v>
      </c>
      <c r="D46" s="71">
        <f>F46/19</f>
        <v>65490.99736842105</v>
      </c>
      <c r="E46" s="72">
        <v>344.35</v>
      </c>
      <c r="F46" s="73">
        <v>1244328.95</v>
      </c>
      <c r="G46" s="73">
        <f t="shared" si="29"/>
        <v>48.7</v>
      </c>
      <c r="H46" s="60">
        <f t="shared" si="30"/>
        <v>0</v>
      </c>
      <c r="I46" s="77">
        <v>0</v>
      </c>
      <c r="J46" s="86"/>
      <c r="K46" s="60">
        <f t="shared" si="50"/>
        <v>0</v>
      </c>
      <c r="L46" s="86"/>
      <c r="M46" s="60">
        <f t="shared" si="31"/>
        <v>0</v>
      </c>
      <c r="N46" s="86"/>
      <c r="O46" s="60">
        <f t="shared" si="32"/>
        <v>0</v>
      </c>
      <c r="P46" s="86">
        <v>6</v>
      </c>
      <c r="Q46" s="60">
        <f t="shared" si="33"/>
        <v>153305.47</v>
      </c>
      <c r="R46" s="60">
        <v>6</v>
      </c>
      <c r="S46" s="60">
        <f t="shared" si="34"/>
        <v>153305.47</v>
      </c>
      <c r="T46" s="60">
        <v>6</v>
      </c>
      <c r="U46" s="60">
        <f t="shared" si="35"/>
        <v>153305.47</v>
      </c>
      <c r="V46" s="60">
        <v>6</v>
      </c>
      <c r="W46" s="60">
        <f>ROUND((V46/100)*$F$48,2)</f>
        <v>153305.47</v>
      </c>
      <c r="X46" s="60">
        <v>6</v>
      </c>
      <c r="Y46" s="60">
        <f>ROUND((X46/100)*$F$48,2)</f>
        <v>153305.47</v>
      </c>
      <c r="Z46" s="86">
        <v>6</v>
      </c>
      <c r="AA46" s="60">
        <f t="shared" si="36"/>
        <v>153305.47</v>
      </c>
      <c r="AB46" s="60">
        <v>6</v>
      </c>
      <c r="AC46" s="60">
        <f t="shared" si="37"/>
        <v>153305.47</v>
      </c>
      <c r="AD46" s="60">
        <v>6</v>
      </c>
      <c r="AE46" s="60">
        <f t="shared" si="38"/>
        <v>153305.47</v>
      </c>
      <c r="AF46" s="60">
        <v>0.7</v>
      </c>
      <c r="AG46" s="60">
        <f>ROUND((AF46/100)*$F$48,2)-0.45</f>
        <v>17885.19</v>
      </c>
      <c r="AH46" s="60"/>
      <c r="AI46" s="60">
        <f t="shared" si="40"/>
        <v>0</v>
      </c>
      <c r="AJ46" s="60"/>
      <c r="AK46" s="60">
        <f t="shared" si="41"/>
        <v>0</v>
      </c>
      <c r="AL46" s="60"/>
      <c r="AM46" s="60">
        <f t="shared" si="42"/>
        <v>0</v>
      </c>
      <c r="AN46" s="60"/>
      <c r="AO46" s="60">
        <f t="shared" si="43"/>
        <v>0</v>
      </c>
      <c r="AP46" s="60"/>
      <c r="AQ46" s="60">
        <f t="shared" si="44"/>
        <v>0</v>
      </c>
      <c r="AR46" s="60"/>
      <c r="AS46" s="60">
        <f t="shared" si="45"/>
        <v>0</v>
      </c>
      <c r="AT46" s="60"/>
      <c r="AU46" s="60">
        <f t="shared" si="46"/>
        <v>0</v>
      </c>
      <c r="AV46" s="60"/>
      <c r="AW46" s="60">
        <f>ROUND((AV46/100)*$F$48,2)</f>
        <v>0</v>
      </c>
      <c r="AX46" s="60"/>
      <c r="AY46" s="60">
        <f t="shared" si="47"/>
        <v>0</v>
      </c>
      <c r="AZ46" s="60"/>
      <c r="BA46" s="60">
        <f t="shared" si="48"/>
        <v>0</v>
      </c>
      <c r="BB46" s="60"/>
      <c r="BC46" s="60">
        <f t="shared" si="49"/>
        <v>0</v>
      </c>
      <c r="BD46" s="60"/>
      <c r="BE46" s="60">
        <f>ROUND((BD46/100)*$F$48,2)</f>
        <v>0</v>
      </c>
      <c r="BF46" s="117"/>
      <c r="BG46" s="116"/>
      <c r="BH46" s="117"/>
      <c r="BI46" s="116"/>
      <c r="BJ46" s="117"/>
      <c r="BK46" s="116"/>
      <c r="BL46" s="117"/>
      <c r="BM46" s="116"/>
    </row>
    <row r="47" spans="1:65" s="2" customFormat="1" ht="12.75">
      <c r="A47" s="68">
        <v>8</v>
      </c>
      <c r="B47" s="230" t="s">
        <v>80</v>
      </c>
      <c r="C47" s="189"/>
      <c r="D47" s="190"/>
      <c r="E47" s="191"/>
      <c r="F47" s="136">
        <v>161650.13</v>
      </c>
      <c r="G47" s="73">
        <f t="shared" si="29"/>
        <v>6.33</v>
      </c>
      <c r="H47" s="60">
        <f t="shared" si="30"/>
        <v>0</v>
      </c>
      <c r="I47" s="77">
        <v>0</v>
      </c>
      <c r="J47" s="192"/>
      <c r="K47" s="60">
        <f t="shared" si="50"/>
        <v>0</v>
      </c>
      <c r="L47" s="192"/>
      <c r="M47" s="60">
        <f t="shared" si="31"/>
        <v>0</v>
      </c>
      <c r="N47" s="192"/>
      <c r="O47" s="60">
        <f t="shared" si="32"/>
        <v>0</v>
      </c>
      <c r="P47" s="192"/>
      <c r="Q47" s="60">
        <f t="shared" si="33"/>
        <v>0</v>
      </c>
      <c r="R47" s="128"/>
      <c r="S47" s="60">
        <f t="shared" si="34"/>
        <v>0</v>
      </c>
      <c r="T47" s="128"/>
      <c r="U47" s="60">
        <f t="shared" si="35"/>
        <v>0</v>
      </c>
      <c r="V47" s="128"/>
      <c r="W47" s="60">
        <f>ROUND((V47/100)*$F$48,2)</f>
        <v>0</v>
      </c>
      <c r="X47" s="128"/>
      <c r="Y47" s="60">
        <f>ROUND((X47/100)*$F$48,2)</f>
        <v>0</v>
      </c>
      <c r="Z47" s="128"/>
      <c r="AA47" s="60">
        <f t="shared" si="36"/>
        <v>0</v>
      </c>
      <c r="AB47" s="128"/>
      <c r="AC47" s="60">
        <f t="shared" si="37"/>
        <v>0</v>
      </c>
      <c r="AD47" s="128"/>
      <c r="AE47" s="60">
        <f t="shared" si="38"/>
        <v>0</v>
      </c>
      <c r="AF47" s="128"/>
      <c r="AG47" s="60">
        <f>ROUND((AF47/100)*$F$48,2)</f>
        <v>0</v>
      </c>
      <c r="AH47" s="128"/>
      <c r="AI47" s="60">
        <f t="shared" si="40"/>
        <v>0</v>
      </c>
      <c r="AJ47" s="128"/>
      <c r="AK47" s="60">
        <f t="shared" si="41"/>
        <v>0</v>
      </c>
      <c r="AL47" s="128"/>
      <c r="AM47" s="60">
        <f t="shared" si="42"/>
        <v>0</v>
      </c>
      <c r="AN47" s="128"/>
      <c r="AO47" s="60">
        <f t="shared" si="43"/>
        <v>0</v>
      </c>
      <c r="AP47" s="128"/>
      <c r="AQ47" s="60">
        <f t="shared" si="44"/>
        <v>0</v>
      </c>
      <c r="AR47" s="128"/>
      <c r="AS47" s="60">
        <f t="shared" si="45"/>
        <v>0</v>
      </c>
      <c r="AT47" s="128">
        <v>1.06</v>
      </c>
      <c r="AU47" s="60">
        <f t="shared" si="46"/>
        <v>27083.97</v>
      </c>
      <c r="AV47" s="128">
        <v>1.06</v>
      </c>
      <c r="AW47" s="60">
        <f>ROUND((AV47/100)*$F$48,2)</f>
        <v>27083.97</v>
      </c>
      <c r="AX47" s="128">
        <v>1.06</v>
      </c>
      <c r="AY47" s="60">
        <f t="shared" si="47"/>
        <v>27083.97</v>
      </c>
      <c r="AZ47" s="128">
        <v>1.06</v>
      </c>
      <c r="BA47" s="60">
        <f t="shared" si="48"/>
        <v>27083.97</v>
      </c>
      <c r="BB47" s="128">
        <v>1.06</v>
      </c>
      <c r="BC47" s="60">
        <f t="shared" si="49"/>
        <v>27083.97</v>
      </c>
      <c r="BD47" s="128">
        <v>1.03</v>
      </c>
      <c r="BE47" s="60">
        <f>ROUND((BD47/100)*$F$48,2)-87.16</f>
        <v>26230.28</v>
      </c>
      <c r="BF47" s="117"/>
      <c r="BG47" s="116"/>
      <c r="BH47" s="117"/>
      <c r="BI47" s="116"/>
      <c r="BJ47" s="117"/>
      <c r="BK47" s="116"/>
      <c r="BL47" s="117"/>
      <c r="BM47" s="116"/>
    </row>
    <row r="48" spans="1:65" s="2" customFormat="1" ht="13.5" thickBot="1">
      <c r="A48" s="227" t="s">
        <v>30</v>
      </c>
      <c r="B48" s="83"/>
      <c r="C48" s="83"/>
      <c r="D48" s="84">
        <f>SUM(D30:D44)</f>
        <v>107395.88925438595</v>
      </c>
      <c r="E48" s="114">
        <f>SUM(E38:E44)</f>
        <v>4085.62</v>
      </c>
      <c r="F48" s="198">
        <f>SUM(F40:F47)</f>
        <v>2555091.13</v>
      </c>
      <c r="G48" s="199">
        <f>SUM(G40:G47)</f>
        <v>100</v>
      </c>
      <c r="H48" s="199">
        <f aca="true" t="shared" si="51" ref="H48:BE48">SUM(H40:H47)</f>
        <v>0</v>
      </c>
      <c r="I48" s="199">
        <f t="shared" si="51"/>
        <v>0</v>
      </c>
      <c r="J48" s="199">
        <f t="shared" si="51"/>
        <v>2.23</v>
      </c>
      <c r="K48" s="199">
        <f t="shared" si="51"/>
        <v>56955.29</v>
      </c>
      <c r="L48" s="199">
        <f t="shared" si="51"/>
        <v>2.1</v>
      </c>
      <c r="M48" s="199">
        <f t="shared" si="51"/>
        <v>53656.91</v>
      </c>
      <c r="N48" s="199">
        <f t="shared" si="51"/>
        <v>5.1</v>
      </c>
      <c r="O48" s="199">
        <f t="shared" si="51"/>
        <v>130309.64000000001</v>
      </c>
      <c r="P48" s="199">
        <f t="shared" si="51"/>
        <v>11</v>
      </c>
      <c r="Q48" s="199">
        <f t="shared" si="51"/>
        <v>281060.02</v>
      </c>
      <c r="R48" s="199">
        <f t="shared" si="51"/>
        <v>11</v>
      </c>
      <c r="S48" s="199">
        <f t="shared" si="51"/>
        <v>281060.02</v>
      </c>
      <c r="T48" s="199">
        <f t="shared" si="51"/>
        <v>10</v>
      </c>
      <c r="U48" s="199">
        <f t="shared" si="51"/>
        <v>255509.11</v>
      </c>
      <c r="V48" s="199">
        <f t="shared" si="51"/>
        <v>8.59</v>
      </c>
      <c r="W48" s="199">
        <f t="shared" si="51"/>
        <v>219596.76</v>
      </c>
      <c r="X48" s="199">
        <f t="shared" si="51"/>
        <v>6.34</v>
      </c>
      <c r="Y48" s="199">
        <f t="shared" si="51"/>
        <v>161987.07</v>
      </c>
      <c r="Z48" s="199">
        <f t="shared" si="51"/>
        <v>6</v>
      </c>
      <c r="AA48" s="199">
        <f t="shared" si="51"/>
        <v>153305.47</v>
      </c>
      <c r="AB48" s="199">
        <f t="shared" si="51"/>
        <v>6</v>
      </c>
      <c r="AC48" s="199">
        <f t="shared" si="51"/>
        <v>153305.47</v>
      </c>
      <c r="AD48" s="199">
        <f t="shared" si="51"/>
        <v>6</v>
      </c>
      <c r="AE48" s="199">
        <f t="shared" si="51"/>
        <v>153305.47</v>
      </c>
      <c r="AF48" s="199">
        <f t="shared" si="51"/>
        <v>0.7</v>
      </c>
      <c r="AG48" s="199">
        <f t="shared" si="51"/>
        <v>17885.19</v>
      </c>
      <c r="AH48" s="199">
        <f t="shared" si="51"/>
        <v>0</v>
      </c>
      <c r="AI48" s="199">
        <f t="shared" si="51"/>
        <v>0</v>
      </c>
      <c r="AJ48" s="199">
        <f t="shared" si="51"/>
        <v>0</v>
      </c>
      <c r="AK48" s="199">
        <f t="shared" si="51"/>
        <v>0</v>
      </c>
      <c r="AL48" s="199">
        <f t="shared" si="51"/>
        <v>0</v>
      </c>
      <c r="AM48" s="199">
        <f t="shared" si="51"/>
        <v>0</v>
      </c>
      <c r="AN48" s="199">
        <f t="shared" si="51"/>
        <v>0</v>
      </c>
      <c r="AO48" s="199">
        <f t="shared" si="51"/>
        <v>0</v>
      </c>
      <c r="AP48" s="199">
        <f t="shared" si="51"/>
        <v>0</v>
      </c>
      <c r="AQ48" s="199">
        <f t="shared" si="51"/>
        <v>0</v>
      </c>
      <c r="AR48" s="199">
        <f t="shared" si="51"/>
        <v>0</v>
      </c>
      <c r="AS48" s="199">
        <f t="shared" si="51"/>
        <v>0</v>
      </c>
      <c r="AT48" s="199">
        <f t="shared" si="51"/>
        <v>1.06</v>
      </c>
      <c r="AU48" s="199">
        <f t="shared" si="51"/>
        <v>27083.97</v>
      </c>
      <c r="AV48" s="199">
        <f t="shared" si="51"/>
        <v>3.13</v>
      </c>
      <c r="AW48" s="199">
        <f t="shared" si="51"/>
        <v>79937.62</v>
      </c>
      <c r="AX48" s="199">
        <f t="shared" si="51"/>
        <v>5.0600000000000005</v>
      </c>
      <c r="AY48" s="199">
        <f t="shared" si="51"/>
        <v>129287.62</v>
      </c>
      <c r="AZ48" s="199">
        <f t="shared" si="51"/>
        <v>5.0600000000000005</v>
      </c>
      <c r="BA48" s="199">
        <f t="shared" si="51"/>
        <v>129287.62</v>
      </c>
      <c r="BB48" s="199">
        <f t="shared" si="51"/>
        <v>5.32</v>
      </c>
      <c r="BC48" s="199">
        <f t="shared" si="51"/>
        <v>135930.86</v>
      </c>
      <c r="BD48" s="199">
        <f t="shared" si="51"/>
        <v>5.3100000000000005</v>
      </c>
      <c r="BE48" s="199">
        <f t="shared" si="51"/>
        <v>135627.02</v>
      </c>
      <c r="BF48" s="117"/>
      <c r="BG48" s="116"/>
      <c r="BH48" s="117"/>
      <c r="BI48" s="116"/>
      <c r="BJ48" s="117"/>
      <c r="BK48" s="116"/>
      <c r="BL48" s="117"/>
      <c r="BM48" s="116"/>
    </row>
    <row r="49" spans="1:65" s="2" customFormat="1" ht="13.5" thickBot="1">
      <c r="A49" s="144"/>
      <c r="B49" s="144"/>
      <c r="C49" s="144"/>
      <c r="D49" s="145"/>
      <c r="E49" s="146"/>
      <c r="F49" s="147"/>
      <c r="G49" s="142"/>
      <c r="H49" s="148"/>
      <c r="I49" s="149"/>
      <c r="J49" s="150"/>
      <c r="K49" s="149"/>
      <c r="L49" s="151"/>
      <c r="M49" s="149"/>
      <c r="N49" s="151"/>
      <c r="O49" s="149"/>
      <c r="P49" s="151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51"/>
      <c r="AG49" s="149"/>
      <c r="AH49" s="151"/>
      <c r="AI49" s="149"/>
      <c r="AJ49" s="151"/>
      <c r="AK49" s="142"/>
      <c r="AL49" s="151"/>
      <c r="AM49" s="149"/>
      <c r="AN49" s="151"/>
      <c r="AO49" s="149"/>
      <c r="AP49" s="151"/>
      <c r="AQ49" s="149"/>
      <c r="AR49" s="149"/>
      <c r="AS49" s="149"/>
      <c r="AT49" s="149"/>
      <c r="AU49" s="149"/>
      <c r="AV49" s="149"/>
      <c r="AW49" s="149"/>
      <c r="AX49" s="149"/>
      <c r="AY49" s="149"/>
      <c r="AZ49" s="151"/>
      <c r="BA49" s="142"/>
      <c r="BB49" s="151"/>
      <c r="BC49" s="142"/>
      <c r="BD49" s="151"/>
      <c r="BE49" s="142"/>
      <c r="BF49" s="117"/>
      <c r="BG49" s="116"/>
      <c r="BH49" s="117"/>
      <c r="BI49" s="116"/>
      <c r="BJ49" s="117"/>
      <c r="BK49" s="116"/>
      <c r="BL49" s="117"/>
      <c r="BM49" s="116"/>
    </row>
    <row r="50" spans="1:65" s="2" customFormat="1" ht="12.75">
      <c r="A50" s="48" t="s">
        <v>16</v>
      </c>
      <c r="B50" s="49"/>
      <c r="C50" s="50"/>
      <c r="D50" s="50"/>
      <c r="E50" s="50"/>
      <c r="F50" s="61" t="s">
        <v>17</v>
      </c>
      <c r="G50" s="20"/>
      <c r="H50" s="92">
        <f aca="true" t="shared" si="52" ref="H50:BA50">H48</f>
        <v>0</v>
      </c>
      <c r="I50" s="93">
        <f t="shared" si="52"/>
        <v>0</v>
      </c>
      <c r="J50" s="92">
        <f t="shared" si="52"/>
        <v>2.23</v>
      </c>
      <c r="K50" s="93">
        <f t="shared" si="52"/>
        <v>56955.29</v>
      </c>
      <c r="L50" s="92">
        <f t="shared" si="52"/>
        <v>2.1</v>
      </c>
      <c r="M50" s="93">
        <f t="shared" si="52"/>
        <v>53656.91</v>
      </c>
      <c r="N50" s="92">
        <f t="shared" si="52"/>
        <v>5.1</v>
      </c>
      <c r="O50" s="93">
        <f t="shared" si="52"/>
        <v>130309.64000000001</v>
      </c>
      <c r="P50" s="92">
        <f t="shared" si="52"/>
        <v>11</v>
      </c>
      <c r="Q50" s="93">
        <f t="shared" si="52"/>
        <v>281060.02</v>
      </c>
      <c r="R50" s="92">
        <f t="shared" si="52"/>
        <v>11</v>
      </c>
      <c r="S50" s="93">
        <f t="shared" si="52"/>
        <v>281060.02</v>
      </c>
      <c r="T50" s="92">
        <f t="shared" si="52"/>
        <v>10</v>
      </c>
      <c r="U50" s="93">
        <f t="shared" si="52"/>
        <v>255509.11</v>
      </c>
      <c r="V50" s="92">
        <f t="shared" si="52"/>
        <v>8.59</v>
      </c>
      <c r="W50" s="93">
        <f t="shared" si="52"/>
        <v>219596.76</v>
      </c>
      <c r="X50" s="92">
        <f t="shared" si="52"/>
        <v>6.34</v>
      </c>
      <c r="Y50" s="93">
        <f t="shared" si="52"/>
        <v>161987.07</v>
      </c>
      <c r="Z50" s="92">
        <f t="shared" si="52"/>
        <v>6</v>
      </c>
      <c r="AA50" s="93">
        <f t="shared" si="52"/>
        <v>153305.47</v>
      </c>
      <c r="AB50" s="92">
        <f t="shared" si="52"/>
        <v>6</v>
      </c>
      <c r="AC50" s="93">
        <f t="shared" si="52"/>
        <v>153305.47</v>
      </c>
      <c r="AD50" s="92">
        <f t="shared" si="52"/>
        <v>6</v>
      </c>
      <c r="AE50" s="93">
        <f t="shared" si="52"/>
        <v>153305.47</v>
      </c>
      <c r="AF50" s="92">
        <f t="shared" si="52"/>
        <v>0.7</v>
      </c>
      <c r="AG50" s="93">
        <f t="shared" si="52"/>
        <v>17885.19</v>
      </c>
      <c r="AH50" s="92">
        <f t="shared" si="52"/>
        <v>0</v>
      </c>
      <c r="AI50" s="93">
        <f t="shared" si="52"/>
        <v>0</v>
      </c>
      <c r="AJ50" s="92">
        <f t="shared" si="52"/>
        <v>0</v>
      </c>
      <c r="AK50" s="93">
        <f t="shared" si="52"/>
        <v>0</v>
      </c>
      <c r="AL50" s="92">
        <f t="shared" si="52"/>
        <v>0</v>
      </c>
      <c r="AM50" s="93">
        <f t="shared" si="52"/>
        <v>0</v>
      </c>
      <c r="AN50" s="92">
        <f t="shared" si="52"/>
        <v>0</v>
      </c>
      <c r="AO50" s="93">
        <f t="shared" si="52"/>
        <v>0</v>
      </c>
      <c r="AP50" s="92">
        <f t="shared" si="52"/>
        <v>0</v>
      </c>
      <c r="AQ50" s="93">
        <f t="shared" si="52"/>
        <v>0</v>
      </c>
      <c r="AR50" s="92">
        <f t="shared" si="52"/>
        <v>0</v>
      </c>
      <c r="AS50" s="93">
        <f t="shared" si="52"/>
        <v>0</v>
      </c>
      <c r="AT50" s="92">
        <f t="shared" si="52"/>
        <v>1.06</v>
      </c>
      <c r="AU50" s="93">
        <f t="shared" si="52"/>
        <v>27083.97</v>
      </c>
      <c r="AV50" s="92">
        <f t="shared" si="52"/>
        <v>3.13</v>
      </c>
      <c r="AW50" s="93">
        <f t="shared" si="52"/>
        <v>79937.62</v>
      </c>
      <c r="AX50" s="92">
        <f t="shared" si="52"/>
        <v>5.0600000000000005</v>
      </c>
      <c r="AY50" s="93">
        <f t="shared" si="52"/>
        <v>129287.62</v>
      </c>
      <c r="AZ50" s="92">
        <f t="shared" si="52"/>
        <v>5.0600000000000005</v>
      </c>
      <c r="BA50" s="93">
        <f t="shared" si="52"/>
        <v>129287.62</v>
      </c>
      <c r="BB50" s="92">
        <f>BB48</f>
        <v>5.32</v>
      </c>
      <c r="BC50" s="93">
        <f>BC48</f>
        <v>135930.86</v>
      </c>
      <c r="BD50" s="92">
        <f>BD48</f>
        <v>5.3100000000000005</v>
      </c>
      <c r="BE50" s="93">
        <f>BE48</f>
        <v>135627.02</v>
      </c>
      <c r="BF50" s="117"/>
      <c r="BG50" s="116"/>
      <c r="BH50" s="117"/>
      <c r="BI50" s="116"/>
      <c r="BJ50" s="117"/>
      <c r="BK50" s="116"/>
      <c r="BL50" s="117"/>
      <c r="BM50" s="116"/>
    </row>
    <row r="51" spans="1:65" s="2" customFormat="1" ht="13.5" thickBot="1">
      <c r="A51" s="51"/>
      <c r="B51" s="52"/>
      <c r="C51" s="53"/>
      <c r="D51" s="53"/>
      <c r="E51" s="53"/>
      <c r="F51" s="62" t="s">
        <v>18</v>
      </c>
      <c r="G51" s="54"/>
      <c r="H51" s="194">
        <f>H50</f>
        <v>0</v>
      </c>
      <c r="I51" s="194">
        <f>(G51+I50)</f>
        <v>0</v>
      </c>
      <c r="J51" s="194">
        <f>H51+J50</f>
        <v>2.23</v>
      </c>
      <c r="K51" s="194">
        <f>(I51+K50)</f>
        <v>56955.29</v>
      </c>
      <c r="L51" s="194">
        <f>J51+L50</f>
        <v>4.33</v>
      </c>
      <c r="M51" s="194">
        <f>(K51+M50)</f>
        <v>110612.20000000001</v>
      </c>
      <c r="N51" s="194">
        <f>L51+N50</f>
        <v>9.43</v>
      </c>
      <c r="O51" s="194">
        <f>(M51+O50)</f>
        <v>240921.84000000003</v>
      </c>
      <c r="P51" s="194">
        <f>N51+P50</f>
        <v>20.43</v>
      </c>
      <c r="Q51" s="194">
        <f>(O51+Q50)</f>
        <v>521981.86000000004</v>
      </c>
      <c r="R51" s="194">
        <f>P51+R50</f>
        <v>31.43</v>
      </c>
      <c r="S51" s="194">
        <f>(Q51+S50)</f>
        <v>803041.8800000001</v>
      </c>
      <c r="T51" s="194">
        <f>R51+T50</f>
        <v>41.43</v>
      </c>
      <c r="U51" s="194">
        <f>(S51+U50)</f>
        <v>1058550.9900000002</v>
      </c>
      <c r="V51" s="194">
        <f>T51+V50</f>
        <v>50.019999999999996</v>
      </c>
      <c r="W51" s="194">
        <f>(U51+W50)</f>
        <v>1278147.7500000002</v>
      </c>
      <c r="X51" s="194">
        <f>V51+X50</f>
        <v>56.36</v>
      </c>
      <c r="Y51" s="194">
        <f>(W51+Y50)</f>
        <v>1440134.8200000003</v>
      </c>
      <c r="Z51" s="194">
        <f>X51+Z50</f>
        <v>62.36</v>
      </c>
      <c r="AA51" s="194">
        <f>(Y51+AA50)</f>
        <v>1593440.2900000003</v>
      </c>
      <c r="AB51" s="194">
        <f>Z51+AB50</f>
        <v>68.36</v>
      </c>
      <c r="AC51" s="194">
        <f>(AA51+AC50)</f>
        <v>1746745.7600000002</v>
      </c>
      <c r="AD51" s="194">
        <f>AB51+AD50</f>
        <v>74.36</v>
      </c>
      <c r="AE51" s="194">
        <f>(AC51+AE50)</f>
        <v>1900051.2300000002</v>
      </c>
      <c r="AF51" s="194">
        <f>AD51+AF50</f>
        <v>75.06</v>
      </c>
      <c r="AG51" s="194">
        <f>(AE51+AG50)</f>
        <v>1917936.4200000002</v>
      </c>
      <c r="AH51" s="194">
        <f>AF51+AH50</f>
        <v>75.06</v>
      </c>
      <c r="AI51" s="194">
        <f>(AG51+AI50)</f>
        <v>1917936.4200000002</v>
      </c>
      <c r="AJ51" s="194">
        <f>AH51+AJ50</f>
        <v>75.06</v>
      </c>
      <c r="AK51" s="194">
        <f>(AI51+AK50)</f>
        <v>1917936.4200000002</v>
      </c>
      <c r="AL51" s="194">
        <f>AJ51+AL50</f>
        <v>75.06</v>
      </c>
      <c r="AM51" s="194">
        <f>(AK51+AM50)</f>
        <v>1917936.4200000002</v>
      </c>
      <c r="AN51" s="194">
        <f>AL51+AN50</f>
        <v>75.06</v>
      </c>
      <c r="AO51" s="194">
        <f>(AM51+AO50)</f>
        <v>1917936.4200000002</v>
      </c>
      <c r="AP51" s="194">
        <f>AN51+AP50</f>
        <v>75.06</v>
      </c>
      <c r="AQ51" s="194">
        <f>(AO51+AQ50)</f>
        <v>1917936.4200000002</v>
      </c>
      <c r="AR51" s="194">
        <f>AP51+AR50</f>
        <v>75.06</v>
      </c>
      <c r="AS51" s="194">
        <f>(AQ51+AS50)</f>
        <v>1917936.4200000002</v>
      </c>
      <c r="AT51" s="194">
        <f>AR51+AT50</f>
        <v>76.12</v>
      </c>
      <c r="AU51" s="194">
        <f>(AS51+AU50)</f>
        <v>1945020.3900000001</v>
      </c>
      <c r="AV51" s="194">
        <f>AT51+AV50</f>
        <v>79.25</v>
      </c>
      <c r="AW51" s="194">
        <f>(AU51+AW50)</f>
        <v>2024958.0100000002</v>
      </c>
      <c r="AX51" s="194">
        <f>AV51+AX50</f>
        <v>84.31</v>
      </c>
      <c r="AY51" s="194">
        <f>(AW51+AY50)</f>
        <v>2154245.6300000004</v>
      </c>
      <c r="AZ51" s="194">
        <f>AX51+AZ50</f>
        <v>89.37</v>
      </c>
      <c r="BA51" s="194">
        <f>(AY51+BA50)</f>
        <v>2283533.2500000005</v>
      </c>
      <c r="BB51" s="194">
        <f>AZ51+BB50</f>
        <v>94.69</v>
      </c>
      <c r="BC51" s="194">
        <f>(BA51+BC50)</f>
        <v>2419464.1100000003</v>
      </c>
      <c r="BD51" s="194">
        <f>BB51+BD50</f>
        <v>100</v>
      </c>
      <c r="BE51" s="194">
        <f>(BC51+BE50)</f>
        <v>2555091.1300000004</v>
      </c>
      <c r="BF51" s="117"/>
      <c r="BG51" s="116"/>
      <c r="BH51" s="117"/>
      <c r="BI51" s="116"/>
      <c r="BJ51" s="117"/>
      <c r="BK51" s="116"/>
      <c r="BL51" s="117"/>
      <c r="BM51" s="116"/>
    </row>
    <row r="52" spans="1:65" s="2" customFormat="1" ht="0.75" customHeight="1" hidden="1">
      <c r="A52" s="152"/>
      <c r="B52" s="50"/>
      <c r="C52" s="50"/>
      <c r="D52" s="50"/>
      <c r="E52" s="50"/>
      <c r="F52" s="153"/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17"/>
      <c r="BG52" s="116"/>
      <c r="BH52" s="117"/>
      <c r="BI52" s="116"/>
      <c r="BJ52" s="117"/>
      <c r="BK52" s="116"/>
      <c r="BL52" s="117"/>
      <c r="BM52" s="116"/>
    </row>
    <row r="53" spans="1:65" s="2" customFormat="1" ht="15.75" hidden="1" thickBot="1">
      <c r="A53" s="3" t="s">
        <v>43</v>
      </c>
      <c r="B53" s="55"/>
      <c r="C53" s="55"/>
      <c r="D53" s="55"/>
      <c r="E53" s="55"/>
      <c r="F53" s="98"/>
      <c r="G53" s="30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117"/>
      <c r="BG53" s="116"/>
      <c r="BH53" s="117"/>
      <c r="BI53" s="116"/>
      <c r="BJ53" s="117"/>
      <c r="BK53" s="116"/>
      <c r="BL53" s="117"/>
      <c r="BM53" s="116"/>
    </row>
    <row r="54" spans="1:65" s="2" customFormat="1" ht="13.5" hidden="1" thickBot="1">
      <c r="A54" s="156"/>
      <c r="B54" s="53"/>
      <c r="C54" s="53"/>
      <c r="D54" s="53"/>
      <c r="E54" s="53"/>
      <c r="F54" s="157"/>
      <c r="G54" s="85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17"/>
      <c r="BG54" s="116"/>
      <c r="BH54" s="117"/>
      <c r="BI54" s="116"/>
      <c r="BJ54" s="117"/>
      <c r="BK54" s="116"/>
      <c r="BL54" s="117"/>
      <c r="BM54" s="116"/>
    </row>
    <row r="55" spans="1:65" s="2" customFormat="1" ht="13.5" hidden="1" thickBot="1">
      <c r="A55" s="68"/>
      <c r="B55" s="69" t="s">
        <v>77</v>
      </c>
      <c r="C55" s="70">
        <v>51</v>
      </c>
      <c r="D55" s="70"/>
      <c r="E55" s="72">
        <v>762.29</v>
      </c>
      <c r="F55" s="73">
        <v>0</v>
      </c>
      <c r="G55" s="73" t="e">
        <f>ROUND((F55/$F$57)*100,2)</f>
        <v>#DIV/0!</v>
      </c>
      <c r="H55" s="60" t="e">
        <f>ROUND((I55/$F$55)*100,2)</f>
        <v>#DIV/0!</v>
      </c>
      <c r="I55" s="60">
        <v>0</v>
      </c>
      <c r="J55" s="88">
        <f>ROUND((K32+K50)/($F$30+$F$48)*100,2)</f>
        <v>1.83</v>
      </c>
      <c r="K55" s="60">
        <f>J55*$F$55/100</f>
        <v>0</v>
      </c>
      <c r="L55" s="88">
        <f>ROUND((M32+M50)/($F$30+$F$48)*100,2)</f>
        <v>3.37</v>
      </c>
      <c r="M55" s="60">
        <f>L55*$F$55/100</f>
        <v>0</v>
      </c>
      <c r="N55" s="88">
        <f>ROUND((O32+O50)/($F$30+$F$48)*100,2)</f>
        <v>5.05</v>
      </c>
      <c r="O55" s="60">
        <f>N55*$F$55/100</f>
        <v>0</v>
      </c>
      <c r="P55" s="88">
        <f>ROUND((Q32+Q50)/($F$30+$F$48)*100,2)</f>
        <v>8.49</v>
      </c>
      <c r="Q55" s="60">
        <f>P55*$F$55/100</f>
        <v>0</v>
      </c>
      <c r="R55" s="88">
        <f>ROUND((S32+S50)/($F$30+$F$48)*100,2)</f>
        <v>8.64</v>
      </c>
      <c r="S55" s="60">
        <f>R55*$F$55/100</f>
        <v>0</v>
      </c>
      <c r="T55" s="88">
        <f>ROUND((U32+U50)/($F$30+$F$48)*100,2)</f>
        <v>8.6</v>
      </c>
      <c r="U55" s="60">
        <f>T55*$F$55/100</f>
        <v>0</v>
      </c>
      <c r="V55" s="88">
        <f>ROUND((W32+W50)/($F$30+$F$48)*100,2)</f>
        <v>8.39</v>
      </c>
      <c r="W55" s="60">
        <f>V55*$F$55/100</f>
        <v>0</v>
      </c>
      <c r="X55" s="88">
        <f>ROUND((Y32+Y50)/($F$30+$F$48)*100,2)</f>
        <v>7.81</v>
      </c>
      <c r="Y55" s="60">
        <f>X55*$F$55/100</f>
        <v>0</v>
      </c>
      <c r="Z55" s="88">
        <f>ROUND((AA32+AA50)/($F$30+$F$48)*100,2)</f>
        <v>6.3</v>
      </c>
      <c r="AA55" s="60">
        <f>Z55*$F$55/100</f>
        <v>0</v>
      </c>
      <c r="AB55" s="88">
        <f>ROUND((AC32+AC50)/($F$30+$F$48)*100,2)</f>
        <v>6.25</v>
      </c>
      <c r="AC55" s="60">
        <f>AB55*$F$55/100</f>
        <v>0</v>
      </c>
      <c r="AD55" s="88">
        <f>ROUND((AE32+AE50)/($F$30+$F$48)*100,2)</f>
        <v>5.17</v>
      </c>
      <c r="AE55" s="60">
        <f>AD55*$F$55/100</f>
        <v>0</v>
      </c>
      <c r="AF55" s="88">
        <f>ROUND((AG32+AG50)/($F$30+$F$48)*100,2)</f>
        <v>2.71</v>
      </c>
      <c r="AG55" s="60">
        <f>AF55*$F$55/100</f>
        <v>0</v>
      </c>
      <c r="AH55" s="88">
        <f>ROUND((AI32+AI50)/($F$30+$F$48)*100,2)</f>
        <v>2.07</v>
      </c>
      <c r="AI55" s="60">
        <f>AH55*$F$55/100</f>
        <v>0</v>
      </c>
      <c r="AJ55" s="88">
        <f>ROUND((AK32+AK50)/($F$30+$F$48)*100,2)</f>
        <v>2.08</v>
      </c>
      <c r="AK55" s="60">
        <f>AJ55*$F$55/100</f>
        <v>0</v>
      </c>
      <c r="AL55" s="88">
        <f>ROUND((AM32+AM50)/($F$30+$F$48)*100,2)</f>
        <v>2.03</v>
      </c>
      <c r="AM55" s="60">
        <f>AL55*$F$55/100</f>
        <v>0</v>
      </c>
      <c r="AN55" s="88">
        <f>ROUND((AO32+AO50)/($F$30+$F$48)*100,2)</f>
        <v>1.99</v>
      </c>
      <c r="AO55" s="60">
        <f>AN55*$F$55/100</f>
        <v>0</v>
      </c>
      <c r="AP55" s="88">
        <f>ROUND((AQ32+AQ50)/($F$30+$F$48)*100,2)</f>
        <v>1.94</v>
      </c>
      <c r="AQ55" s="60">
        <f>AP55*$F$55/100</f>
        <v>0</v>
      </c>
      <c r="AR55" s="60"/>
      <c r="AS55" s="60"/>
      <c r="AT55" s="60"/>
      <c r="AU55" s="60"/>
      <c r="AV55" s="60"/>
      <c r="AW55" s="60"/>
      <c r="AX55" s="60"/>
      <c r="AY55" s="60"/>
      <c r="AZ55" s="88">
        <v>3.04</v>
      </c>
      <c r="BA55" s="60">
        <f>AZ55*$F$55/100</f>
        <v>0</v>
      </c>
      <c r="BB55" s="181"/>
      <c r="BC55" s="165"/>
      <c r="BD55" s="165"/>
      <c r="BE55" s="165"/>
      <c r="BF55" s="117"/>
      <c r="BG55" s="116"/>
      <c r="BH55" s="117"/>
      <c r="BI55" s="116"/>
      <c r="BJ55" s="117"/>
      <c r="BK55" s="116"/>
      <c r="BL55" s="117"/>
      <c r="BM55" s="116"/>
    </row>
    <row r="56" spans="1:65" s="2" customFormat="1" ht="13.5" hidden="1" thickBot="1">
      <c r="A56" s="186"/>
      <c r="B56" s="182"/>
      <c r="C56" s="183"/>
      <c r="D56" s="183"/>
      <c r="E56" s="184"/>
      <c r="F56" s="185"/>
      <c r="G56" s="73"/>
      <c r="H56" s="60"/>
      <c r="I56" s="60"/>
      <c r="J56" s="88"/>
      <c r="K56" s="60"/>
      <c r="L56" s="88"/>
      <c r="M56" s="60"/>
      <c r="N56" s="88"/>
      <c r="O56" s="60"/>
      <c r="P56" s="88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88"/>
      <c r="AG56" s="60"/>
      <c r="AH56" s="60"/>
      <c r="AI56" s="60"/>
      <c r="AJ56" s="60"/>
      <c r="AK56" s="60"/>
      <c r="AL56" s="60"/>
      <c r="AM56" s="60"/>
      <c r="AN56" s="88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187"/>
      <c r="BC56" s="179"/>
      <c r="BD56" s="116"/>
      <c r="BE56" s="116"/>
      <c r="BF56" s="117"/>
      <c r="BG56" s="116"/>
      <c r="BH56" s="117"/>
      <c r="BI56" s="116"/>
      <c r="BJ56" s="117"/>
      <c r="BK56" s="116"/>
      <c r="BL56" s="117"/>
      <c r="BM56" s="116"/>
    </row>
    <row r="57" spans="1:65" s="2" customFormat="1" ht="13.5" hidden="1" thickBot="1">
      <c r="A57" s="166" t="s">
        <v>19</v>
      </c>
      <c r="B57" s="166"/>
      <c r="C57" s="133"/>
      <c r="D57" s="133"/>
      <c r="E57" s="134">
        <f>E36+E37+E55</f>
        <v>762.29</v>
      </c>
      <c r="F57" s="135">
        <f>F36+F37+F55</f>
        <v>0</v>
      </c>
      <c r="G57" s="196" t="e">
        <f>SUM(G55:G56)</f>
        <v>#DIV/0!</v>
      </c>
      <c r="H57" s="197" t="e">
        <f>H55</f>
        <v>#DIV/0!</v>
      </c>
      <c r="I57" s="197">
        <f>I55</f>
        <v>0</v>
      </c>
      <c r="J57" s="197">
        <f aca="true" t="shared" si="53" ref="J57:BA57">J55</f>
        <v>1.83</v>
      </c>
      <c r="K57" s="197">
        <f t="shared" si="53"/>
        <v>0</v>
      </c>
      <c r="L57" s="197">
        <f t="shared" si="53"/>
        <v>3.37</v>
      </c>
      <c r="M57" s="197">
        <f t="shared" si="53"/>
        <v>0</v>
      </c>
      <c r="N57" s="197">
        <f t="shared" si="53"/>
        <v>5.05</v>
      </c>
      <c r="O57" s="197">
        <f t="shared" si="53"/>
        <v>0</v>
      </c>
      <c r="P57" s="197">
        <f t="shared" si="53"/>
        <v>8.49</v>
      </c>
      <c r="Q57" s="197">
        <f t="shared" si="53"/>
        <v>0</v>
      </c>
      <c r="R57" s="197">
        <f t="shared" si="53"/>
        <v>8.64</v>
      </c>
      <c r="S57" s="197">
        <f t="shared" si="53"/>
        <v>0</v>
      </c>
      <c r="T57" s="197">
        <f t="shared" si="53"/>
        <v>8.6</v>
      </c>
      <c r="U57" s="197">
        <f t="shared" si="53"/>
        <v>0</v>
      </c>
      <c r="V57" s="197">
        <f t="shared" si="53"/>
        <v>8.39</v>
      </c>
      <c r="W57" s="197">
        <f t="shared" si="53"/>
        <v>0</v>
      </c>
      <c r="X57" s="197">
        <f t="shared" si="53"/>
        <v>7.81</v>
      </c>
      <c r="Y57" s="197">
        <f t="shared" si="53"/>
        <v>0</v>
      </c>
      <c r="Z57" s="197">
        <f t="shared" si="53"/>
        <v>6.3</v>
      </c>
      <c r="AA57" s="197">
        <f t="shared" si="53"/>
        <v>0</v>
      </c>
      <c r="AB57" s="197">
        <f t="shared" si="53"/>
        <v>6.25</v>
      </c>
      <c r="AC57" s="197">
        <f t="shared" si="53"/>
        <v>0</v>
      </c>
      <c r="AD57" s="197">
        <f t="shared" si="53"/>
        <v>5.17</v>
      </c>
      <c r="AE57" s="197">
        <f t="shared" si="53"/>
        <v>0</v>
      </c>
      <c r="AF57" s="197">
        <f t="shared" si="53"/>
        <v>2.71</v>
      </c>
      <c r="AG57" s="197">
        <f t="shared" si="53"/>
        <v>0</v>
      </c>
      <c r="AH57" s="197">
        <f t="shared" si="53"/>
        <v>2.07</v>
      </c>
      <c r="AI57" s="197">
        <f t="shared" si="53"/>
        <v>0</v>
      </c>
      <c r="AJ57" s="197">
        <f t="shared" si="53"/>
        <v>2.08</v>
      </c>
      <c r="AK57" s="197">
        <f t="shared" si="53"/>
        <v>0</v>
      </c>
      <c r="AL57" s="197">
        <f t="shared" si="53"/>
        <v>2.03</v>
      </c>
      <c r="AM57" s="197">
        <f t="shared" si="53"/>
        <v>0</v>
      </c>
      <c r="AN57" s="197">
        <f t="shared" si="53"/>
        <v>1.99</v>
      </c>
      <c r="AO57" s="197">
        <f t="shared" si="53"/>
        <v>0</v>
      </c>
      <c r="AP57" s="197">
        <f t="shared" si="53"/>
        <v>1.94</v>
      </c>
      <c r="AQ57" s="197">
        <f t="shared" si="53"/>
        <v>0</v>
      </c>
      <c r="AR57" s="197"/>
      <c r="AS57" s="197"/>
      <c r="AT57" s="197"/>
      <c r="AU57" s="197"/>
      <c r="AV57" s="197"/>
      <c r="AW57" s="197"/>
      <c r="AX57" s="197"/>
      <c r="AY57" s="197"/>
      <c r="AZ57" s="197">
        <f t="shared" si="53"/>
        <v>3.04</v>
      </c>
      <c r="BA57" s="197">
        <f t="shared" si="53"/>
        <v>0</v>
      </c>
      <c r="BB57" s="197">
        <f>BB55</f>
        <v>0</v>
      </c>
      <c r="BC57" s="197">
        <f>BC55</f>
        <v>0</v>
      </c>
      <c r="BD57" s="197"/>
      <c r="BE57" s="197"/>
      <c r="BF57" s="117"/>
      <c r="BG57" s="116"/>
      <c r="BH57" s="117"/>
      <c r="BI57" s="116"/>
      <c r="BJ57" s="117"/>
      <c r="BK57" s="116"/>
      <c r="BL57" s="117"/>
      <c r="BM57" s="116"/>
    </row>
    <row r="58" spans="1:65" s="2" customFormat="1" ht="13.5" hidden="1" thickBot="1">
      <c r="A58" s="34"/>
      <c r="B58" s="161"/>
      <c r="C58" s="161"/>
      <c r="D58" s="161"/>
      <c r="E58" s="162"/>
      <c r="F58" s="163"/>
      <c r="G58" s="164"/>
      <c r="H58" s="94"/>
      <c r="I58" s="165"/>
      <c r="J58" s="94"/>
      <c r="K58" s="165"/>
      <c r="L58" s="94"/>
      <c r="M58" s="165"/>
      <c r="N58" s="94"/>
      <c r="O58" s="165"/>
      <c r="P58" s="94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94"/>
      <c r="AG58" s="165"/>
      <c r="AH58" s="94"/>
      <c r="AI58" s="165"/>
      <c r="AJ58" s="94"/>
      <c r="AK58" s="165"/>
      <c r="AL58" s="94"/>
      <c r="AM58" s="165"/>
      <c r="AN58" s="94"/>
      <c r="AO58" s="165"/>
      <c r="AP58" s="94"/>
      <c r="AQ58" s="165"/>
      <c r="AR58" s="165"/>
      <c r="AS58" s="165"/>
      <c r="AT58" s="165"/>
      <c r="AU58" s="165"/>
      <c r="AV58" s="165"/>
      <c r="AW58" s="165"/>
      <c r="AX58" s="165"/>
      <c r="AY58" s="165"/>
      <c r="AZ58" s="94"/>
      <c r="BA58" s="165"/>
      <c r="BB58" s="94"/>
      <c r="BC58" s="165"/>
      <c r="BD58" s="165"/>
      <c r="BE58" s="165"/>
      <c r="BF58" s="90"/>
      <c r="BG58" s="116"/>
      <c r="BH58" s="90"/>
      <c r="BI58" s="116"/>
      <c r="BJ58" s="90"/>
      <c r="BK58" s="116"/>
      <c r="BL58" s="90"/>
      <c r="BM58" s="116"/>
    </row>
    <row r="59" spans="1:65" s="2" customFormat="1" ht="13.5" hidden="1" thickBot="1">
      <c r="A59" s="100"/>
      <c r="G59" s="81"/>
      <c r="H59" s="82"/>
      <c r="I59" s="19"/>
      <c r="J59" s="8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6"/>
      <c r="BG59" s="16"/>
      <c r="BH59" s="96"/>
      <c r="BI59" s="90"/>
      <c r="BJ59" s="96"/>
      <c r="BK59" s="90"/>
      <c r="BL59" s="96"/>
      <c r="BM59" s="90"/>
    </row>
    <row r="60" spans="1:65" s="2" customFormat="1" ht="13.5" hidden="1" thickBot="1">
      <c r="A60" s="7" t="s">
        <v>16</v>
      </c>
      <c r="B60" s="8"/>
      <c r="C60" s="23"/>
      <c r="D60" s="23"/>
      <c r="E60" s="23"/>
      <c r="F60" s="78" t="s">
        <v>17</v>
      </c>
      <c r="G60" s="80"/>
      <c r="H60" s="89" t="e">
        <f aca="true" t="shared" si="54" ref="H60:BA60">H57</f>
        <v>#DIV/0!</v>
      </c>
      <c r="I60" s="89">
        <f t="shared" si="54"/>
        <v>0</v>
      </c>
      <c r="J60" s="89">
        <f t="shared" si="54"/>
        <v>1.83</v>
      </c>
      <c r="K60" s="89">
        <f t="shared" si="54"/>
        <v>0</v>
      </c>
      <c r="L60" s="89">
        <f t="shared" si="54"/>
        <v>3.37</v>
      </c>
      <c r="M60" s="89">
        <f t="shared" si="54"/>
        <v>0</v>
      </c>
      <c r="N60" s="89">
        <f t="shared" si="54"/>
        <v>5.05</v>
      </c>
      <c r="O60" s="89">
        <f t="shared" si="54"/>
        <v>0</v>
      </c>
      <c r="P60" s="89">
        <f t="shared" si="54"/>
        <v>8.49</v>
      </c>
      <c r="Q60" s="89">
        <f t="shared" si="54"/>
        <v>0</v>
      </c>
      <c r="R60" s="89">
        <f t="shared" si="54"/>
        <v>8.64</v>
      </c>
      <c r="S60" s="89">
        <f t="shared" si="54"/>
        <v>0</v>
      </c>
      <c r="T60" s="89">
        <f t="shared" si="54"/>
        <v>8.6</v>
      </c>
      <c r="U60" s="89">
        <f t="shared" si="54"/>
        <v>0</v>
      </c>
      <c r="V60" s="89">
        <f t="shared" si="54"/>
        <v>8.39</v>
      </c>
      <c r="W60" s="89">
        <f t="shared" si="54"/>
        <v>0</v>
      </c>
      <c r="X60" s="89">
        <f t="shared" si="54"/>
        <v>7.81</v>
      </c>
      <c r="Y60" s="89">
        <f t="shared" si="54"/>
        <v>0</v>
      </c>
      <c r="Z60" s="89">
        <f t="shared" si="54"/>
        <v>6.3</v>
      </c>
      <c r="AA60" s="89">
        <f t="shared" si="54"/>
        <v>0</v>
      </c>
      <c r="AB60" s="89">
        <f t="shared" si="54"/>
        <v>6.25</v>
      </c>
      <c r="AC60" s="89">
        <f t="shared" si="54"/>
        <v>0</v>
      </c>
      <c r="AD60" s="89">
        <f t="shared" si="54"/>
        <v>5.17</v>
      </c>
      <c r="AE60" s="89">
        <f t="shared" si="54"/>
        <v>0</v>
      </c>
      <c r="AF60" s="89">
        <f t="shared" si="54"/>
        <v>2.71</v>
      </c>
      <c r="AG60" s="89">
        <f t="shared" si="54"/>
        <v>0</v>
      </c>
      <c r="AH60" s="89">
        <f t="shared" si="54"/>
        <v>2.07</v>
      </c>
      <c r="AI60" s="89">
        <f t="shared" si="54"/>
        <v>0</v>
      </c>
      <c r="AJ60" s="89">
        <f t="shared" si="54"/>
        <v>2.08</v>
      </c>
      <c r="AK60" s="89">
        <f t="shared" si="54"/>
        <v>0</v>
      </c>
      <c r="AL60" s="89">
        <f t="shared" si="54"/>
        <v>2.03</v>
      </c>
      <c r="AM60" s="89">
        <f t="shared" si="54"/>
        <v>0</v>
      </c>
      <c r="AN60" s="89">
        <f t="shared" si="54"/>
        <v>1.99</v>
      </c>
      <c r="AO60" s="89">
        <f t="shared" si="54"/>
        <v>0</v>
      </c>
      <c r="AP60" s="89">
        <f t="shared" si="54"/>
        <v>1.94</v>
      </c>
      <c r="AQ60" s="89">
        <f t="shared" si="54"/>
        <v>0</v>
      </c>
      <c r="AR60" s="89"/>
      <c r="AS60" s="89"/>
      <c r="AT60" s="89"/>
      <c r="AU60" s="89"/>
      <c r="AV60" s="89"/>
      <c r="AW60" s="89"/>
      <c r="AX60" s="89"/>
      <c r="AY60" s="89"/>
      <c r="AZ60" s="89">
        <f t="shared" si="54"/>
        <v>3.04</v>
      </c>
      <c r="BA60" s="89">
        <f t="shared" si="54"/>
        <v>0</v>
      </c>
      <c r="BB60" s="89">
        <f>BB57</f>
        <v>0</v>
      </c>
      <c r="BC60" s="89">
        <f>BC57</f>
        <v>0</v>
      </c>
      <c r="BD60" s="89"/>
      <c r="BE60" s="89"/>
      <c r="BF60" s="96"/>
      <c r="BG60" s="90"/>
      <c r="BH60" s="96"/>
      <c r="BI60" s="90"/>
      <c r="BJ60" s="96"/>
      <c r="BK60" s="90"/>
      <c r="BL60" s="96"/>
      <c r="BM60" s="90"/>
    </row>
    <row r="61" spans="1:65" s="2" customFormat="1" ht="13.5" hidden="1" thickBot="1">
      <c r="A61" s="9"/>
      <c r="B61" s="10"/>
      <c r="C61" s="24"/>
      <c r="D61" s="24"/>
      <c r="E61" s="24"/>
      <c r="F61" s="79" t="s">
        <v>18</v>
      </c>
      <c r="G61" s="11"/>
      <c r="H61" s="194" t="e">
        <f>H60</f>
        <v>#DIV/0!</v>
      </c>
      <c r="I61" s="194">
        <f>(G61+I60)</f>
        <v>0</v>
      </c>
      <c r="J61" s="194" t="e">
        <f>H61+J60</f>
        <v>#DIV/0!</v>
      </c>
      <c r="K61" s="194">
        <f>(I61+K60)</f>
        <v>0</v>
      </c>
      <c r="L61" s="194" t="e">
        <f>J61+L60</f>
        <v>#DIV/0!</v>
      </c>
      <c r="M61" s="194">
        <f>(K61+M60)</f>
        <v>0</v>
      </c>
      <c r="N61" s="194" t="e">
        <f>L61+N60</f>
        <v>#DIV/0!</v>
      </c>
      <c r="O61" s="194">
        <f>(M61+O60)</f>
        <v>0</v>
      </c>
      <c r="P61" s="194" t="e">
        <f>N61+P60</f>
        <v>#DIV/0!</v>
      </c>
      <c r="Q61" s="194">
        <f>(O61+Q60)</f>
        <v>0</v>
      </c>
      <c r="R61" s="194" t="e">
        <f>P61+R60</f>
        <v>#DIV/0!</v>
      </c>
      <c r="S61" s="194">
        <f>(Q61+S60)</f>
        <v>0</v>
      </c>
      <c r="T61" s="194" t="e">
        <f>R61+T60</f>
        <v>#DIV/0!</v>
      </c>
      <c r="U61" s="194">
        <f>(S61+U60)</f>
        <v>0</v>
      </c>
      <c r="V61" s="194" t="e">
        <f>T61+V60</f>
        <v>#DIV/0!</v>
      </c>
      <c r="W61" s="194">
        <f>(U61+W60)</f>
        <v>0</v>
      </c>
      <c r="X61" s="194" t="e">
        <f>V61+X60</f>
        <v>#DIV/0!</v>
      </c>
      <c r="Y61" s="194">
        <f>(W61+Y60)</f>
        <v>0</v>
      </c>
      <c r="Z61" s="194" t="e">
        <f>X61+Z60</f>
        <v>#DIV/0!</v>
      </c>
      <c r="AA61" s="194">
        <f>(Y61+AA60)</f>
        <v>0</v>
      </c>
      <c r="AB61" s="194" t="e">
        <f>Z61+AB60</f>
        <v>#DIV/0!</v>
      </c>
      <c r="AC61" s="194">
        <f>(AA61+AC60)</f>
        <v>0</v>
      </c>
      <c r="AD61" s="194" t="e">
        <f>AB61+AD60</f>
        <v>#DIV/0!</v>
      </c>
      <c r="AE61" s="194">
        <f>(AC61+AE60)</f>
        <v>0</v>
      </c>
      <c r="AF61" s="194" t="e">
        <f>AD61+AF60</f>
        <v>#DIV/0!</v>
      </c>
      <c r="AG61" s="194">
        <f>(AE61+AG60)</f>
        <v>0</v>
      </c>
      <c r="AH61" s="194" t="e">
        <f>AF61+AH60</f>
        <v>#DIV/0!</v>
      </c>
      <c r="AI61" s="194">
        <f>(AG61+AI60)</f>
        <v>0</v>
      </c>
      <c r="AJ61" s="194" t="e">
        <f>AH61+AJ60</f>
        <v>#DIV/0!</v>
      </c>
      <c r="AK61" s="195">
        <f>(AI61+AK60)</f>
        <v>0</v>
      </c>
      <c r="AL61" s="194" t="e">
        <f>AJ61+AL60</f>
        <v>#DIV/0!</v>
      </c>
      <c r="AM61" s="194">
        <f>(AK61+AM60)</f>
        <v>0</v>
      </c>
      <c r="AN61" s="194" t="e">
        <f>AL61+AN60</f>
        <v>#DIV/0!</v>
      </c>
      <c r="AO61" s="194">
        <f>(AM61+AO60)</f>
        <v>0</v>
      </c>
      <c r="AP61" s="194" t="e">
        <f>AN61+AP60</f>
        <v>#DIV/0!</v>
      </c>
      <c r="AQ61" s="194">
        <f>(AO61+AQ60)</f>
        <v>0</v>
      </c>
      <c r="AR61" s="194"/>
      <c r="AS61" s="194"/>
      <c r="AT61" s="194"/>
      <c r="AU61" s="194"/>
      <c r="AV61" s="194"/>
      <c r="AW61" s="194"/>
      <c r="AX61" s="194"/>
      <c r="AY61" s="194"/>
      <c r="AZ61" s="194" t="e">
        <f>AP61+AZ60</f>
        <v>#DIV/0!</v>
      </c>
      <c r="BA61" s="194">
        <f>(AQ61+BA60)</f>
        <v>0</v>
      </c>
      <c r="BB61" s="194" t="e">
        <f>AZ61+BB60</f>
        <v>#DIV/0!</v>
      </c>
      <c r="BC61" s="194">
        <f>(BA61+BC60)</f>
        <v>0</v>
      </c>
      <c r="BD61" s="194"/>
      <c r="BE61" s="194"/>
      <c r="BF61" s="96"/>
      <c r="BG61" s="96"/>
      <c r="BH61" s="96"/>
      <c r="BI61" s="96"/>
      <c r="BJ61" s="96"/>
      <c r="BK61" s="96"/>
      <c r="BL61" s="96"/>
      <c r="BM61" s="96"/>
    </row>
    <row r="62" spans="1:65" s="2" customFormat="1" ht="12.75">
      <c r="A62" s="34"/>
      <c r="H62" s="90"/>
      <c r="I62" s="94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5"/>
      <c r="AH62" s="91"/>
      <c r="AI62" s="91"/>
      <c r="AJ62" s="91"/>
      <c r="AK62" s="95"/>
      <c r="AL62" s="91"/>
      <c r="AM62" s="91"/>
      <c r="AN62" s="91"/>
      <c r="AO62" s="95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5"/>
      <c r="BB62" s="91"/>
      <c r="BC62" s="95"/>
      <c r="BD62" s="91"/>
      <c r="BE62" s="91"/>
      <c r="BF62" s="91"/>
      <c r="BG62" s="91"/>
      <c r="BH62" s="16"/>
      <c r="BI62" s="16"/>
      <c r="BJ62" s="16"/>
      <c r="BK62" s="16"/>
      <c r="BL62" s="16"/>
      <c r="BM62" s="4"/>
    </row>
    <row r="63" spans="1:65" ht="12.75" customHeight="1" hidden="1" thickBot="1">
      <c r="A63" s="4"/>
      <c r="B63" s="4"/>
      <c r="C63" s="4"/>
      <c r="D63" s="4"/>
      <c r="E63" s="4"/>
      <c r="F63" s="4"/>
      <c r="G63" s="4"/>
      <c r="H63" s="18"/>
      <c r="I63" s="18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248"/>
      <c r="BI63" s="248"/>
      <c r="BJ63" s="248"/>
      <c r="BK63" s="248"/>
      <c r="BL63" s="248"/>
      <c r="BM63" s="119"/>
    </row>
    <row r="64" spans="1:65" ht="12.75" customHeight="1" hidden="1" thickBot="1">
      <c r="A64" s="4"/>
      <c r="B64" s="4"/>
      <c r="C64" s="4"/>
      <c r="D64" s="4"/>
      <c r="E64" s="4"/>
      <c r="F64" s="4"/>
      <c r="G64" s="4"/>
      <c r="H64" s="18"/>
      <c r="I64" s="16"/>
      <c r="J64" s="18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248"/>
      <c r="BI64" s="248"/>
      <c r="BJ64" s="248"/>
      <c r="BK64" s="248"/>
      <c r="BL64" s="248"/>
      <c r="BM64" s="119"/>
    </row>
    <row r="65" spans="1:65" ht="12.75" customHeight="1" hidden="1" thickBot="1">
      <c r="A65" s="31"/>
      <c r="B65" s="14"/>
      <c r="C65" s="14"/>
      <c r="D65" s="14"/>
      <c r="E65" s="14"/>
      <c r="F65" s="32"/>
      <c r="G65" s="12"/>
      <c r="H65" s="33"/>
      <c r="I65" s="30"/>
      <c r="J65" s="33"/>
      <c r="K65" s="30"/>
      <c r="L65" s="33"/>
      <c r="M65" s="30"/>
      <c r="N65" s="33"/>
      <c r="O65" s="30"/>
      <c r="P65" s="3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3"/>
      <c r="AG65" s="30"/>
      <c r="AH65" s="33"/>
      <c r="AI65" s="30"/>
      <c r="AJ65" s="33"/>
      <c r="AK65" s="30"/>
      <c r="AL65" s="33"/>
      <c r="AM65" s="30"/>
      <c r="AN65" s="33"/>
      <c r="AO65" s="30"/>
      <c r="AP65" s="33"/>
      <c r="AQ65" s="30"/>
      <c r="AR65" s="30"/>
      <c r="AS65" s="30"/>
      <c r="AT65" s="30"/>
      <c r="AU65" s="30"/>
      <c r="AV65" s="30"/>
      <c r="AW65" s="30"/>
      <c r="AX65" s="30"/>
      <c r="AY65" s="30"/>
      <c r="AZ65" s="33"/>
      <c r="BA65" s="30"/>
      <c r="BB65" s="33"/>
      <c r="BC65" s="30"/>
      <c r="BD65" s="30"/>
      <c r="BE65" s="30"/>
      <c r="BF65" s="33"/>
      <c r="BG65" s="30"/>
      <c r="BH65" s="248"/>
      <c r="BI65" s="248"/>
      <c r="BJ65" s="248"/>
      <c r="BK65" s="248"/>
      <c r="BL65" s="248"/>
      <c r="BM65" s="119"/>
    </row>
    <row r="66" spans="1:65" ht="12.75" customHeight="1" hidden="1" thickBot="1">
      <c r="A66" s="22" t="s">
        <v>22</v>
      </c>
      <c r="B66" s="2"/>
      <c r="C66" s="2"/>
      <c r="D66" s="2"/>
      <c r="E66" s="2"/>
      <c r="F66" s="2"/>
      <c r="G66" s="2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6"/>
      <c r="BA66" s="16"/>
      <c r="BB66" s="17"/>
      <c r="BC66" s="17"/>
      <c r="BD66" s="17"/>
      <c r="BE66" s="17"/>
      <c r="BF66" s="16"/>
      <c r="BG66" s="16"/>
      <c r="BH66" s="248"/>
      <c r="BI66" s="248"/>
      <c r="BJ66" s="248"/>
      <c r="BK66" s="248"/>
      <c r="BL66" s="248"/>
      <c r="BM66" s="119"/>
    </row>
    <row r="67" spans="1:65" ht="15" customHeight="1" hidden="1" thickBot="1">
      <c r="A67" s="3" t="s">
        <v>23</v>
      </c>
      <c r="B67" s="3"/>
      <c r="C67" s="3"/>
      <c r="D67" s="3"/>
      <c r="E67" s="3"/>
      <c r="F67" s="4"/>
      <c r="G67" s="4"/>
      <c r="H67" s="16"/>
      <c r="I67" s="57"/>
      <c r="J67" s="5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6"/>
      <c r="BA67" s="16"/>
      <c r="BB67" s="17"/>
      <c r="BC67" s="17"/>
      <c r="BD67" s="17"/>
      <c r="BE67" s="17"/>
      <c r="BF67" s="16"/>
      <c r="BG67" s="16"/>
      <c r="BH67" s="248"/>
      <c r="BI67" s="248"/>
      <c r="BJ67" s="248"/>
      <c r="BK67" s="248"/>
      <c r="BL67" s="248"/>
      <c r="BM67" s="119"/>
    </row>
    <row r="68" spans="1:65" ht="15.75" customHeight="1" hidden="1" thickBot="1">
      <c r="A68" s="3" t="s">
        <v>24</v>
      </c>
      <c r="B68" s="3"/>
      <c r="C68" s="3"/>
      <c r="D68" s="3"/>
      <c r="E68" s="3"/>
      <c r="F68" s="13">
        <v>338</v>
      </c>
      <c r="G68" s="4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6"/>
      <c r="BA68" s="16"/>
      <c r="BB68" s="17"/>
      <c r="BC68" s="17"/>
      <c r="BD68" s="17"/>
      <c r="BE68" s="17"/>
      <c r="BF68" s="16"/>
      <c r="BG68" s="16"/>
      <c r="BH68" s="248"/>
      <c r="BI68" s="248"/>
      <c r="BJ68" s="248"/>
      <c r="BK68" s="248"/>
      <c r="BL68" s="248"/>
      <c r="BM68" s="119"/>
    </row>
    <row r="69" spans="1:65" ht="15" customHeight="1" hidden="1" thickBot="1">
      <c r="A69" s="3" t="s">
        <v>25</v>
      </c>
      <c r="B69" s="3"/>
      <c r="C69" s="3"/>
      <c r="D69" s="3"/>
      <c r="E69" s="3"/>
      <c r="F69" s="4"/>
      <c r="G69" s="4"/>
      <c r="H69" s="16"/>
      <c r="I69" s="1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6"/>
      <c r="BA69" s="16"/>
      <c r="BB69" s="17"/>
      <c r="BC69" s="17"/>
      <c r="BD69" s="17"/>
      <c r="BE69" s="17"/>
      <c r="BF69" s="16"/>
      <c r="BG69" s="16"/>
      <c r="BH69" s="248"/>
      <c r="BI69" s="248"/>
      <c r="BJ69" s="248"/>
      <c r="BK69" s="248"/>
      <c r="BL69" s="248"/>
      <c r="BM69" s="119"/>
    </row>
    <row r="70" spans="1:65" ht="15" customHeight="1" hidden="1">
      <c r="A70" s="3" t="s">
        <v>26</v>
      </c>
      <c r="B70" s="3"/>
      <c r="C70" s="3"/>
      <c r="D70" s="3"/>
      <c r="E70" s="3"/>
      <c r="F70" s="4"/>
      <c r="G70" s="4"/>
      <c r="H70" s="16"/>
      <c r="I70" s="1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6"/>
      <c r="BA70" s="16"/>
      <c r="BB70" s="17"/>
      <c r="BC70" s="17"/>
      <c r="BD70" s="17"/>
      <c r="BE70" s="17"/>
      <c r="BF70" s="16"/>
      <c r="BG70" s="16"/>
      <c r="BH70" s="248"/>
      <c r="BI70" s="248"/>
      <c r="BJ70" s="248"/>
      <c r="BK70" s="248"/>
      <c r="BL70" s="248"/>
      <c r="BM70" s="119"/>
    </row>
    <row r="71" spans="1:65" ht="15" customHeight="1" hidden="1">
      <c r="A71" s="3" t="s">
        <v>27</v>
      </c>
      <c r="B71" s="3"/>
      <c r="C71" s="3"/>
      <c r="D71" s="3"/>
      <c r="E71" s="25"/>
      <c r="F71" s="26">
        <v>39203</v>
      </c>
      <c r="G71" s="4"/>
      <c r="H71" s="16"/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52"/>
      <c r="AK71" s="252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252"/>
      <c r="BA71" s="252"/>
      <c r="BB71" s="17"/>
      <c r="BC71" s="17"/>
      <c r="BD71" s="17"/>
      <c r="BE71" s="17"/>
      <c r="BF71" s="16"/>
      <c r="BG71" s="16"/>
      <c r="BH71" s="248"/>
      <c r="BI71" s="248"/>
      <c r="BJ71" s="248"/>
      <c r="BK71" s="248"/>
      <c r="BL71" s="248"/>
      <c r="BM71" s="119"/>
    </row>
    <row r="72" spans="1:65" ht="15">
      <c r="A72" s="3" t="s">
        <v>42</v>
      </c>
      <c r="B72" s="3"/>
      <c r="C72" s="3"/>
      <c r="D72" s="3"/>
      <c r="E72" s="25"/>
      <c r="F72" s="26"/>
      <c r="G72" s="4"/>
      <c r="H72" s="16"/>
      <c r="I72" s="16"/>
      <c r="J72" s="17"/>
      <c r="K72" s="17"/>
      <c r="L72" s="207"/>
      <c r="M72" s="17"/>
      <c r="N72" s="17"/>
      <c r="O72" s="17"/>
      <c r="P72" s="207"/>
      <c r="Q72" s="17"/>
      <c r="R72" s="207"/>
      <c r="S72" s="17"/>
      <c r="T72" s="17"/>
      <c r="U72" s="17"/>
      <c r="V72" s="207"/>
      <c r="W72" s="17"/>
      <c r="X72" s="17"/>
      <c r="Y72" s="17"/>
      <c r="Z72" s="17"/>
      <c r="AA72" s="17"/>
      <c r="AB72" s="207"/>
      <c r="AC72" s="17"/>
      <c r="AD72" s="17"/>
      <c r="AE72" s="17"/>
      <c r="AF72" s="17"/>
      <c r="AG72" s="17"/>
      <c r="AH72" s="17"/>
      <c r="AI72" s="17"/>
      <c r="AJ72" s="29"/>
      <c r="AK72" s="29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29"/>
      <c r="BA72" s="29"/>
      <c r="BB72" s="17"/>
      <c r="BC72" s="17"/>
      <c r="BD72" s="17"/>
      <c r="BE72" s="17"/>
      <c r="BF72" s="16"/>
      <c r="BG72" s="16"/>
      <c r="BH72" s="248"/>
      <c r="BI72" s="248"/>
      <c r="BJ72" s="248"/>
      <c r="BK72" s="248"/>
      <c r="BL72" s="248"/>
      <c r="BM72" s="119"/>
    </row>
    <row r="73" spans="1:65" ht="15.75" thickBot="1">
      <c r="A73" s="17"/>
      <c r="B73" s="35"/>
      <c r="C73" s="35"/>
      <c r="D73" s="35"/>
      <c r="E73" s="35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9"/>
      <c r="AK73" s="19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9"/>
      <c r="BA73" s="19"/>
      <c r="BB73" s="17"/>
      <c r="BC73" s="17"/>
      <c r="BD73" s="17"/>
      <c r="BE73" s="17"/>
      <c r="BF73" s="16"/>
      <c r="BG73" s="16"/>
      <c r="BH73" s="248"/>
      <c r="BI73" s="248"/>
      <c r="BJ73" s="248"/>
      <c r="BK73" s="248"/>
      <c r="BL73" s="248"/>
      <c r="BM73" s="119"/>
    </row>
    <row r="74" spans="1:65" ht="13.5" thickBot="1">
      <c r="A74" s="101" t="s">
        <v>0</v>
      </c>
      <c r="B74" s="101" t="s">
        <v>1</v>
      </c>
      <c r="C74" s="36"/>
      <c r="D74" s="36"/>
      <c r="E74" s="36"/>
      <c r="F74" s="105" t="s">
        <v>2</v>
      </c>
      <c r="G74" s="107" t="s">
        <v>3</v>
      </c>
      <c r="H74" s="255" t="s">
        <v>76</v>
      </c>
      <c r="I74" s="256"/>
      <c r="J74" s="249" t="s">
        <v>49</v>
      </c>
      <c r="K74" s="250"/>
      <c r="L74" s="249" t="s">
        <v>50</v>
      </c>
      <c r="M74" s="250"/>
      <c r="N74" s="249" t="s">
        <v>51</v>
      </c>
      <c r="O74" s="250"/>
      <c r="P74" s="249" t="s">
        <v>52</v>
      </c>
      <c r="Q74" s="250"/>
      <c r="R74" s="249" t="s">
        <v>53</v>
      </c>
      <c r="S74" s="250"/>
      <c r="T74" s="249" t="s">
        <v>54</v>
      </c>
      <c r="U74" s="250"/>
      <c r="V74" s="249" t="s">
        <v>55</v>
      </c>
      <c r="W74" s="250"/>
      <c r="X74" s="249" t="s">
        <v>56</v>
      </c>
      <c r="Y74" s="250"/>
      <c r="Z74" s="249" t="s">
        <v>57</v>
      </c>
      <c r="AA74" s="250"/>
      <c r="AB74" s="249" t="s">
        <v>58</v>
      </c>
      <c r="AC74" s="250"/>
      <c r="AD74" s="249" t="s">
        <v>59</v>
      </c>
      <c r="AE74" s="250"/>
      <c r="AF74" s="249" t="s">
        <v>60</v>
      </c>
      <c r="AG74" s="250"/>
      <c r="AH74" s="249" t="s">
        <v>61</v>
      </c>
      <c r="AI74" s="250"/>
      <c r="AJ74" s="249" t="s">
        <v>62</v>
      </c>
      <c r="AK74" s="250"/>
      <c r="AL74" s="249" t="s">
        <v>63</v>
      </c>
      <c r="AM74" s="250"/>
      <c r="AN74" s="249" t="s">
        <v>64</v>
      </c>
      <c r="AO74" s="250"/>
      <c r="AP74" s="249" t="s">
        <v>65</v>
      </c>
      <c r="AQ74" s="250"/>
      <c r="AR74" s="249" t="s">
        <v>66</v>
      </c>
      <c r="AS74" s="250"/>
      <c r="AT74" s="251" t="s">
        <v>67</v>
      </c>
      <c r="AU74" s="250"/>
      <c r="AV74" s="249" t="s">
        <v>68</v>
      </c>
      <c r="AW74" s="250"/>
      <c r="AX74" s="251" t="s">
        <v>69</v>
      </c>
      <c r="AY74" s="250"/>
      <c r="AZ74" s="249" t="s">
        <v>70</v>
      </c>
      <c r="BA74" s="250"/>
      <c r="BB74" s="249" t="s">
        <v>71</v>
      </c>
      <c r="BC74" s="253"/>
      <c r="BD74" s="249" t="s">
        <v>72</v>
      </c>
      <c r="BE74" s="254"/>
      <c r="BF74" s="257"/>
      <c r="BG74" s="257"/>
      <c r="BH74" s="257"/>
      <c r="BI74" s="257"/>
      <c r="BJ74" s="257"/>
      <c r="BK74" s="257"/>
      <c r="BL74" s="209"/>
      <c r="BM74" s="209"/>
    </row>
    <row r="75" spans="1:65" ht="13.5" thickBot="1">
      <c r="A75" s="37"/>
      <c r="B75" s="37"/>
      <c r="C75" s="37"/>
      <c r="D75" s="38" t="s">
        <v>28</v>
      </c>
      <c r="E75" s="37"/>
      <c r="F75" s="106" t="s">
        <v>4</v>
      </c>
      <c r="G75" s="221" t="s">
        <v>5</v>
      </c>
      <c r="H75" s="212" t="s">
        <v>5</v>
      </c>
      <c r="I75" s="213" t="s">
        <v>6</v>
      </c>
      <c r="J75" s="224" t="s">
        <v>5</v>
      </c>
      <c r="K75" s="225" t="s">
        <v>6</v>
      </c>
      <c r="L75" s="224" t="s">
        <v>5</v>
      </c>
      <c r="M75" s="111" t="s">
        <v>6</v>
      </c>
      <c r="N75" s="224" t="s">
        <v>5</v>
      </c>
      <c r="O75" s="111" t="s">
        <v>6</v>
      </c>
      <c r="P75" s="224" t="s">
        <v>5</v>
      </c>
      <c r="Q75" s="111" t="s">
        <v>6</v>
      </c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0" t="s">
        <v>5</v>
      </c>
      <c r="AG75" s="112" t="s">
        <v>6</v>
      </c>
      <c r="AH75" s="110" t="s">
        <v>5</v>
      </c>
      <c r="AI75" s="112" t="s">
        <v>6</v>
      </c>
      <c r="AJ75" s="110" t="s">
        <v>5</v>
      </c>
      <c r="AK75" s="125" t="s">
        <v>6</v>
      </c>
      <c r="AL75" s="110" t="s">
        <v>5</v>
      </c>
      <c r="AM75" s="111" t="s">
        <v>6</v>
      </c>
      <c r="AN75" s="110" t="s">
        <v>5</v>
      </c>
      <c r="AO75" s="112" t="s">
        <v>6</v>
      </c>
      <c r="AP75" s="110" t="s">
        <v>5</v>
      </c>
      <c r="AQ75" s="112" t="s">
        <v>6</v>
      </c>
      <c r="AR75" s="110" t="s">
        <v>5</v>
      </c>
      <c r="AS75" s="111" t="s">
        <v>6</v>
      </c>
      <c r="AT75" s="110" t="s">
        <v>5</v>
      </c>
      <c r="AU75" s="111" t="s">
        <v>6</v>
      </c>
      <c r="AV75" s="110" t="s">
        <v>5</v>
      </c>
      <c r="AW75" s="111" t="s">
        <v>6</v>
      </c>
      <c r="AX75" s="110" t="s">
        <v>5</v>
      </c>
      <c r="AY75" s="112" t="s">
        <v>6</v>
      </c>
      <c r="AZ75" s="110" t="s">
        <v>5</v>
      </c>
      <c r="BA75" s="177" t="s">
        <v>6</v>
      </c>
      <c r="BB75" s="110" t="s">
        <v>5</v>
      </c>
      <c r="BC75" s="112" t="s">
        <v>6</v>
      </c>
      <c r="BD75" s="110" t="s">
        <v>5</v>
      </c>
      <c r="BE75" s="111" t="s">
        <v>6</v>
      </c>
      <c r="BF75" s="115"/>
      <c r="BG75" s="115"/>
      <c r="BH75" s="115"/>
      <c r="BI75" s="115"/>
      <c r="BJ75" s="115"/>
      <c r="BK75" s="115"/>
      <c r="BL75" s="115"/>
      <c r="BM75" s="115"/>
    </row>
    <row r="76" spans="1:65" ht="12.75">
      <c r="A76" s="39" t="s">
        <v>31</v>
      </c>
      <c r="B76" s="40" t="s">
        <v>32</v>
      </c>
      <c r="C76" s="28"/>
      <c r="D76" s="28"/>
      <c r="E76" s="41"/>
      <c r="F76" s="217">
        <f>F30</f>
        <v>10240937.419999998</v>
      </c>
      <c r="G76" s="210">
        <f>ROUND((F76/$F$82)*100,2)</f>
        <v>80.03</v>
      </c>
      <c r="H76" s="59">
        <f>ROUND((I76/$F$82)*100,2)</f>
        <v>0</v>
      </c>
      <c r="I76" s="233">
        <f>I30</f>
        <v>0</v>
      </c>
      <c r="J76" s="59">
        <f>ROUND((K76/$F$82)*100,2)</f>
        <v>1.39</v>
      </c>
      <c r="K76" s="241">
        <f>K30</f>
        <v>177825.13</v>
      </c>
      <c r="L76" s="59">
        <f>ROUND((M76/$F$82)*100,2)</f>
        <v>2.95</v>
      </c>
      <c r="M76" s="241">
        <f>M30</f>
        <v>377556.24</v>
      </c>
      <c r="N76" s="59">
        <f>ROUND((O76/$F$82)*100,2)</f>
        <v>4.03</v>
      </c>
      <c r="O76" s="241">
        <f>O30</f>
        <v>516086.4</v>
      </c>
      <c r="P76" s="59">
        <f>ROUND((Q76/$F$82)*100,2)</f>
        <v>6.29</v>
      </c>
      <c r="Q76" s="211">
        <f>Q30</f>
        <v>804937.6699999999</v>
      </c>
      <c r="R76" s="59">
        <f>ROUND((S76/$F$82)*100,2)</f>
        <v>6.44</v>
      </c>
      <c r="S76" s="59">
        <f>S30</f>
        <v>824395.46</v>
      </c>
      <c r="T76" s="59">
        <f>ROUND((U76/$F$82)*100,2)</f>
        <v>6.6</v>
      </c>
      <c r="U76" s="59">
        <f>U30</f>
        <v>844877.3299999998</v>
      </c>
      <c r="V76" s="99">
        <f>ROUND((W76/$F$82)*100,2)</f>
        <v>6.67</v>
      </c>
      <c r="W76" s="59">
        <f>W30</f>
        <v>854094.1799999999</v>
      </c>
      <c r="X76" s="59">
        <f>ROUND((Y76/$F$82)*100,2)</f>
        <v>6.54</v>
      </c>
      <c r="Y76" s="59">
        <f>Y30</f>
        <v>836860.55</v>
      </c>
      <c r="Z76" s="59">
        <f>ROUND((AA76/$F$82)*100,2)</f>
        <v>5.1</v>
      </c>
      <c r="AA76" s="59">
        <f>AA30</f>
        <v>652347.71</v>
      </c>
      <c r="AB76" s="59">
        <f>ROUND((AC76/$F$82)*100,2)</f>
        <v>5.05</v>
      </c>
      <c r="AC76" s="59">
        <f>AC30</f>
        <v>646203.1399999999</v>
      </c>
      <c r="AD76" s="59">
        <f>ROUND((AE76/$F$82)*100,2)</f>
        <v>3.97</v>
      </c>
      <c r="AE76" s="59">
        <f>AE30</f>
        <v>507950.49</v>
      </c>
      <c r="AF76" s="59">
        <f>ROUND((AG76/$F$82)*100,2)</f>
        <v>2.57</v>
      </c>
      <c r="AG76" s="59">
        <f>AG30</f>
        <v>328813.12</v>
      </c>
      <c r="AH76" s="59">
        <f>ROUND((AI76/$F$82)*100,2)</f>
        <v>2.07</v>
      </c>
      <c r="AI76" s="59">
        <f>AI30</f>
        <v>265240.28</v>
      </c>
      <c r="AJ76" s="59">
        <f>ROUND((AK76/$F$82)*100,2)</f>
        <v>2.08</v>
      </c>
      <c r="AK76" s="59">
        <f>AK30</f>
        <v>266731.28</v>
      </c>
      <c r="AL76" s="59">
        <f>ROUND((AM76/$F$82)*100,2)</f>
        <v>2.03</v>
      </c>
      <c r="AM76" s="59">
        <f>AM30</f>
        <v>259679.76</v>
      </c>
      <c r="AN76" s="59">
        <f>ROUND((AO76/$F$82)*100,2)</f>
        <v>1.99</v>
      </c>
      <c r="AO76" s="59">
        <f>AO30</f>
        <v>254999.34</v>
      </c>
      <c r="AP76" s="59">
        <f>ROUND((AQ76/$F$82)*100,2)</f>
        <v>1.94</v>
      </c>
      <c r="AQ76" s="59">
        <f>AQ30</f>
        <v>248470.61000000002</v>
      </c>
      <c r="AR76" s="59">
        <f>ROUND((AS76/$F$82)*100,2)</f>
        <v>1.91</v>
      </c>
      <c r="AS76" s="59">
        <f>AS30</f>
        <v>244872.35</v>
      </c>
      <c r="AT76" s="59">
        <f>ROUND((AU76/$F$82)*100,2)</f>
        <v>1.87</v>
      </c>
      <c r="AU76" s="59">
        <f>AU30</f>
        <v>239637.94</v>
      </c>
      <c r="AV76" s="59">
        <f>ROUND((AW76/$F$82)*100,2)</f>
        <v>1.86</v>
      </c>
      <c r="AW76" s="59">
        <f>AW30</f>
        <v>237589.75</v>
      </c>
      <c r="AX76" s="59">
        <f>ROUND((AY76/$F$82)*100,2)</f>
        <v>1.84</v>
      </c>
      <c r="AY76" s="59">
        <f>AY30</f>
        <v>235541.55</v>
      </c>
      <c r="AZ76" s="99">
        <f>ROUND((BA76/$F$82)*100,2)</f>
        <v>1.84</v>
      </c>
      <c r="BA76" s="59">
        <f>BA30</f>
        <v>235634.86</v>
      </c>
      <c r="BB76" s="99">
        <f>ROUND((BC76/$F$82)*100,2)</f>
        <v>1.81</v>
      </c>
      <c r="BC76" s="59">
        <f>BC30</f>
        <v>232178.75</v>
      </c>
      <c r="BD76" s="99">
        <f>ROUND((BE76/$F$82)*100,2)</f>
        <v>1.16</v>
      </c>
      <c r="BE76" s="59">
        <f>BE30</f>
        <v>148413.53000000003</v>
      </c>
      <c r="BF76" s="116"/>
      <c r="BG76" s="120"/>
      <c r="BH76" s="116"/>
      <c r="BI76" s="120"/>
      <c r="BJ76" s="116"/>
      <c r="BK76" s="120"/>
      <c r="BL76" s="116"/>
      <c r="BM76" s="120"/>
    </row>
    <row r="77" spans="1:65" ht="12.75">
      <c r="A77" s="39" t="s">
        <v>33</v>
      </c>
      <c r="B77" s="42" t="s">
        <v>34</v>
      </c>
      <c r="C77" s="28"/>
      <c r="D77" s="28"/>
      <c r="E77" s="43"/>
      <c r="F77" s="127">
        <f>F48</f>
        <v>2555091.13</v>
      </c>
      <c r="G77" s="214">
        <f>ROUND((F77/$F$82)*100,2)</f>
        <v>19.97</v>
      </c>
      <c r="H77" s="60">
        <f>ROUND((I77/$F$82)*100,2)</f>
        <v>0</v>
      </c>
      <c r="I77" s="142"/>
      <c r="J77" s="60">
        <f>ROUND((K77/$F$82)*100,2)</f>
        <v>0.45</v>
      </c>
      <c r="K77" s="242">
        <f>K48</f>
        <v>56955.29</v>
      </c>
      <c r="L77" s="60">
        <f>ROUND((M77/$F$82)*100,2)</f>
        <v>0.42</v>
      </c>
      <c r="M77" s="242">
        <f>M48</f>
        <v>53656.91</v>
      </c>
      <c r="N77" s="60">
        <f>ROUND((O77/$F$82)*100,2)</f>
        <v>1.02</v>
      </c>
      <c r="O77" s="242">
        <f>O48</f>
        <v>130309.64000000001</v>
      </c>
      <c r="P77" s="60">
        <f>ROUND((Q77/$F$82)*100,2)</f>
        <v>2.2</v>
      </c>
      <c r="Q77" s="215">
        <f>Q48</f>
        <v>281060.02</v>
      </c>
      <c r="R77" s="99">
        <f>ROUND((S77/$F$82)*100,2)</f>
        <v>2.2</v>
      </c>
      <c r="S77" s="60">
        <f>S48</f>
        <v>281060.02</v>
      </c>
      <c r="T77" s="99">
        <f>ROUND((U77/$F$82)*100,2)</f>
        <v>2</v>
      </c>
      <c r="U77" s="60">
        <f>U48</f>
        <v>255509.11</v>
      </c>
      <c r="V77" s="99">
        <f>ROUND((W77/$F$82)*100,2)</f>
        <v>1.72</v>
      </c>
      <c r="W77" s="60">
        <f>W48</f>
        <v>219596.76</v>
      </c>
      <c r="X77" s="99">
        <f>ROUND((Y77/$F$82)*100,2)</f>
        <v>1.27</v>
      </c>
      <c r="Y77" s="60">
        <f>Y48</f>
        <v>161987.07</v>
      </c>
      <c r="Z77" s="99">
        <f>ROUND((AA77/$F$82)*100,2)</f>
        <v>1.2</v>
      </c>
      <c r="AA77" s="60">
        <f>AA48</f>
        <v>153305.47</v>
      </c>
      <c r="AB77" s="99">
        <f>ROUND((AC77/$F$82)*100,2)</f>
        <v>1.2</v>
      </c>
      <c r="AC77" s="60">
        <f>AC48</f>
        <v>153305.47</v>
      </c>
      <c r="AD77" s="99">
        <f>ROUND((AE77/$F$82)*100,2)</f>
        <v>1.2</v>
      </c>
      <c r="AE77" s="60">
        <f>AE48</f>
        <v>153305.47</v>
      </c>
      <c r="AF77" s="60">
        <f>ROUND((AG77/$F$82)*100,2)</f>
        <v>0.14</v>
      </c>
      <c r="AG77" s="60">
        <f>AG48</f>
        <v>17885.19</v>
      </c>
      <c r="AH77" s="99">
        <f>ROUND((AI77/$F$82)*100,2)</f>
        <v>0</v>
      </c>
      <c r="AI77" s="60">
        <f>AI48</f>
        <v>0</v>
      </c>
      <c r="AJ77" s="99">
        <f>ROUND((AK77/$F$82)*100,2)</f>
        <v>0</v>
      </c>
      <c r="AK77" s="60">
        <f>AK48</f>
        <v>0</v>
      </c>
      <c r="AL77" s="99">
        <f>ROUND((AM77/$F$82)*100,2)</f>
        <v>0</v>
      </c>
      <c r="AM77" s="60">
        <f>AM48</f>
        <v>0</v>
      </c>
      <c r="AN77" s="99">
        <f>ROUND((AO77/$F$82)*100,2)</f>
        <v>0</v>
      </c>
      <c r="AO77" s="60">
        <f>AO48</f>
        <v>0</v>
      </c>
      <c r="AP77" s="99">
        <f>ROUND((AQ77/$F$82)*100,2)</f>
        <v>0</v>
      </c>
      <c r="AQ77" s="60">
        <f>AQ48</f>
        <v>0</v>
      </c>
      <c r="AR77" s="99">
        <f>ROUND((AS77/$F$82)*100,2)</f>
        <v>0</v>
      </c>
      <c r="AS77" s="60">
        <f>AS48</f>
        <v>0</v>
      </c>
      <c r="AT77" s="99">
        <f>ROUND((AU77/$F$82)*100,2)</f>
        <v>0.21</v>
      </c>
      <c r="AU77" s="60">
        <f>AU48</f>
        <v>27083.97</v>
      </c>
      <c r="AV77" s="99">
        <f>ROUND((AW77/$F$82)*100,2)</f>
        <v>0.62</v>
      </c>
      <c r="AW77" s="60">
        <f>AW48</f>
        <v>79937.62</v>
      </c>
      <c r="AX77" s="99">
        <f>ROUND((AY77/$F$82)*100,2)</f>
        <v>1.01</v>
      </c>
      <c r="AY77" s="60">
        <f>AY48</f>
        <v>129287.62</v>
      </c>
      <c r="AZ77" s="99">
        <f>ROUND((BA77/$F$82)*100,2)</f>
        <v>1.01</v>
      </c>
      <c r="BA77" s="60">
        <f>BA48</f>
        <v>129287.62</v>
      </c>
      <c r="BB77" s="99">
        <f>ROUND((BC77/$F$82)*100,2)</f>
        <v>1.06</v>
      </c>
      <c r="BC77" s="60">
        <f>BC48</f>
        <v>135930.86</v>
      </c>
      <c r="BD77" s="99">
        <f>ROUND((BE77/$F$82)*100,2)</f>
        <v>1.06</v>
      </c>
      <c r="BE77" s="60">
        <f>BE48</f>
        <v>135627.02</v>
      </c>
      <c r="BF77" s="116"/>
      <c r="BG77" s="120"/>
      <c r="BH77" s="116"/>
      <c r="BI77" s="120"/>
      <c r="BJ77" s="116"/>
      <c r="BK77" s="120"/>
      <c r="BL77" s="116"/>
      <c r="BM77" s="120"/>
    </row>
    <row r="78" spans="1:65" ht="12.75">
      <c r="A78" s="39"/>
      <c r="B78" s="69"/>
      <c r="C78" s="28"/>
      <c r="D78" s="28"/>
      <c r="E78" s="43"/>
      <c r="F78" s="127"/>
      <c r="G78" s="214"/>
      <c r="H78" s="60"/>
      <c r="I78" s="142"/>
      <c r="J78" s="60"/>
      <c r="K78" s="242"/>
      <c r="L78" s="124"/>
      <c r="M78" s="242"/>
      <c r="N78" s="60"/>
      <c r="O78" s="242"/>
      <c r="P78" s="124"/>
      <c r="Q78" s="215"/>
      <c r="R78" s="124"/>
      <c r="S78" s="60"/>
      <c r="T78" s="99"/>
      <c r="U78" s="60"/>
      <c r="V78" s="99"/>
      <c r="W78" s="60"/>
      <c r="X78" s="99"/>
      <c r="Y78" s="60"/>
      <c r="Z78" s="99"/>
      <c r="AA78" s="60"/>
      <c r="AB78" s="99"/>
      <c r="AC78" s="60"/>
      <c r="AD78" s="99"/>
      <c r="AE78" s="60"/>
      <c r="AF78" s="99"/>
      <c r="AG78" s="60"/>
      <c r="AH78" s="99"/>
      <c r="AI78" s="60"/>
      <c r="AJ78" s="99"/>
      <c r="AK78" s="60"/>
      <c r="AL78" s="99"/>
      <c r="AM78" s="60"/>
      <c r="AN78" s="99"/>
      <c r="AO78" s="60"/>
      <c r="AP78" s="99"/>
      <c r="AQ78" s="60"/>
      <c r="AR78" s="99"/>
      <c r="AS78" s="60"/>
      <c r="AT78" s="99"/>
      <c r="AU78" s="60"/>
      <c r="AV78" s="99"/>
      <c r="AW78" s="60"/>
      <c r="AX78" s="99"/>
      <c r="AY78" s="60"/>
      <c r="AZ78" s="99"/>
      <c r="BA78" s="60"/>
      <c r="BB78" s="99"/>
      <c r="BC78" s="60"/>
      <c r="BD78" s="99"/>
      <c r="BE78" s="60"/>
      <c r="BF78" s="116"/>
      <c r="BG78" s="120"/>
      <c r="BH78" s="116"/>
      <c r="BI78" s="120"/>
      <c r="BJ78" s="116"/>
      <c r="BK78" s="120"/>
      <c r="BL78" s="116"/>
      <c r="BM78" s="120"/>
    </row>
    <row r="79" spans="1:65" ht="12.75" hidden="1">
      <c r="A79" s="44"/>
      <c r="B79" s="42"/>
      <c r="C79" s="28"/>
      <c r="D79" s="28"/>
      <c r="E79" s="43"/>
      <c r="F79" s="218"/>
      <c r="G79" s="214"/>
      <c r="H79" s="86"/>
      <c r="I79" s="235"/>
      <c r="J79" s="86"/>
      <c r="K79" s="242"/>
      <c r="L79" s="124"/>
      <c r="M79" s="242"/>
      <c r="N79" s="86"/>
      <c r="O79" s="242"/>
      <c r="P79" s="124"/>
      <c r="Q79" s="223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60"/>
      <c r="AG79" s="124"/>
      <c r="AH79" s="60"/>
      <c r="AI79" s="124"/>
      <c r="AJ79" s="99"/>
      <c r="AK79" s="127"/>
      <c r="AL79" s="124"/>
      <c r="AM79" s="124"/>
      <c r="AN79" s="60"/>
      <c r="AO79" s="124"/>
      <c r="AP79" s="60"/>
      <c r="AQ79" s="124"/>
      <c r="AR79" s="60"/>
      <c r="AS79" s="124"/>
      <c r="AT79" s="60"/>
      <c r="AU79" s="124"/>
      <c r="AV79" s="60"/>
      <c r="AW79" s="124"/>
      <c r="AX79" s="60"/>
      <c r="AY79" s="124"/>
      <c r="AZ79" s="60"/>
      <c r="BA79" s="124"/>
      <c r="BB79" s="60"/>
      <c r="BC79" s="124"/>
      <c r="BD79" s="60"/>
      <c r="BE79" s="124"/>
      <c r="BF79" s="120"/>
      <c r="BG79" s="120"/>
      <c r="BH79" s="120"/>
      <c r="BI79" s="120"/>
      <c r="BJ79" s="120"/>
      <c r="BK79" s="120"/>
      <c r="BL79" s="120"/>
      <c r="BM79" s="120"/>
    </row>
    <row r="80" spans="1:65" ht="12.75" hidden="1">
      <c r="A80" s="44"/>
      <c r="B80" s="42"/>
      <c r="C80" s="28"/>
      <c r="D80" s="28"/>
      <c r="E80" s="43"/>
      <c r="F80" s="218"/>
      <c r="G80" s="214"/>
      <c r="H80" s="86"/>
      <c r="I80" s="236"/>
      <c r="J80" s="86"/>
      <c r="K80" s="242"/>
      <c r="L80" s="124"/>
      <c r="M80" s="242"/>
      <c r="N80" s="86"/>
      <c r="O80" s="242"/>
      <c r="P80" s="124"/>
      <c r="Q80" s="223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60"/>
      <c r="AG80" s="124"/>
      <c r="AH80" s="60"/>
      <c r="AI80" s="124"/>
      <c r="AJ80" s="99"/>
      <c r="AK80" s="127"/>
      <c r="AL80" s="124"/>
      <c r="AM80" s="124"/>
      <c r="AN80" s="60"/>
      <c r="AO80" s="124"/>
      <c r="AP80" s="60"/>
      <c r="AQ80" s="124"/>
      <c r="AR80" s="60"/>
      <c r="AS80" s="124"/>
      <c r="AT80" s="60"/>
      <c r="AU80" s="124"/>
      <c r="AV80" s="60"/>
      <c r="AW80" s="124"/>
      <c r="AX80" s="60"/>
      <c r="AY80" s="124"/>
      <c r="AZ80" s="60"/>
      <c r="BA80" s="124"/>
      <c r="BB80" s="60"/>
      <c r="BC80" s="124"/>
      <c r="BD80" s="60"/>
      <c r="BE80" s="124"/>
      <c r="BF80" s="120"/>
      <c r="BG80" s="120"/>
      <c r="BH80" s="120"/>
      <c r="BI80" s="120"/>
      <c r="BJ80" s="120"/>
      <c r="BK80" s="120"/>
      <c r="BL80" s="120"/>
      <c r="BM80" s="120"/>
    </row>
    <row r="81" spans="1:65" ht="12.75" hidden="1">
      <c r="A81" s="44"/>
      <c r="B81" s="42"/>
      <c r="C81" s="28"/>
      <c r="D81" s="28"/>
      <c r="E81" s="43"/>
      <c r="F81" s="218"/>
      <c r="G81" s="214"/>
      <c r="H81" s="86"/>
      <c r="I81" s="235"/>
      <c r="J81" s="86"/>
      <c r="K81" s="242"/>
      <c r="L81" s="124"/>
      <c r="M81" s="242"/>
      <c r="N81" s="86"/>
      <c r="O81" s="242"/>
      <c r="P81" s="124"/>
      <c r="Q81" s="223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60"/>
      <c r="AG81" s="124"/>
      <c r="AH81" s="60"/>
      <c r="AI81" s="124"/>
      <c r="AJ81" s="86"/>
      <c r="AK81" s="127"/>
      <c r="AL81" s="124"/>
      <c r="AM81" s="124"/>
      <c r="AN81" s="60"/>
      <c r="AO81" s="124"/>
      <c r="AP81" s="60"/>
      <c r="AQ81" s="124"/>
      <c r="AR81" s="60"/>
      <c r="AS81" s="124"/>
      <c r="AT81" s="60"/>
      <c r="AU81" s="124"/>
      <c r="AV81" s="60"/>
      <c r="AW81" s="124"/>
      <c r="AX81" s="60"/>
      <c r="AY81" s="124"/>
      <c r="AZ81" s="60"/>
      <c r="BA81" s="124"/>
      <c r="BB81" s="60"/>
      <c r="BC81" s="124"/>
      <c r="BD81" s="60"/>
      <c r="BE81" s="124"/>
      <c r="BF81" s="120"/>
      <c r="BG81" s="120"/>
      <c r="BH81" s="120"/>
      <c r="BI81" s="120"/>
      <c r="BJ81" s="120"/>
      <c r="BK81" s="120"/>
      <c r="BL81" s="120"/>
      <c r="BM81" s="120"/>
    </row>
    <row r="82" spans="1:65" ht="15" customHeight="1">
      <c r="A82" s="44"/>
      <c r="B82" s="45" t="s">
        <v>41</v>
      </c>
      <c r="C82" s="46"/>
      <c r="D82" s="46"/>
      <c r="E82" s="47" t="e">
        <f>#REF!+#REF!</f>
        <v>#REF!</v>
      </c>
      <c r="F82" s="219">
        <f>SUM(F76:F81)</f>
        <v>12796028.549999997</v>
      </c>
      <c r="G82" s="202">
        <f>SUM(G76:G81)</f>
        <v>100</v>
      </c>
      <c r="H82" s="199">
        <f>ROUND((I82/$F$82)*100,2)</f>
        <v>0</v>
      </c>
      <c r="I82" s="237">
        <f>SUM(I76:I81)</f>
        <v>0</v>
      </c>
      <c r="J82" s="200">
        <f>K82*100/$F$82</f>
        <v>1.8347913110900338</v>
      </c>
      <c r="K82" s="243">
        <f>SUM(K76:K81)</f>
        <v>234780.42</v>
      </c>
      <c r="L82" s="200">
        <f>M82*100/$F$82</f>
        <v>3.3698983111443597</v>
      </c>
      <c r="M82" s="243">
        <f>SUM(M76:M81)</f>
        <v>431213.15</v>
      </c>
      <c r="N82" s="200">
        <f>O82*100/$F$82</f>
        <v>5.051536400331024</v>
      </c>
      <c r="O82" s="243">
        <f>SUM(O76:O81)</f>
        <v>646396.04</v>
      </c>
      <c r="P82" s="200">
        <f>Q82*100/$F$82</f>
        <v>8.486990207598437</v>
      </c>
      <c r="Q82" s="239">
        <f>SUM(Q76:Q81)</f>
        <v>1085997.69</v>
      </c>
      <c r="R82" s="200">
        <f>S82*100/$F$82</f>
        <v>8.639051371919612</v>
      </c>
      <c r="S82" s="201">
        <f>SUM(S76:S81)</f>
        <v>1105455.48</v>
      </c>
      <c r="T82" s="200">
        <f>U82*100/$F$82</f>
        <v>8.599437205850876</v>
      </c>
      <c r="U82" s="201">
        <f>SUM(U76:U81)</f>
        <v>1100386.44</v>
      </c>
      <c r="V82" s="200">
        <f>W82*100/$F$82</f>
        <v>8.390813882640174</v>
      </c>
      <c r="W82" s="201">
        <f>SUM(W76:W81)</f>
        <v>1073690.94</v>
      </c>
      <c r="X82" s="200">
        <f>Y82*100/$F$82</f>
        <v>7.805918970069822</v>
      </c>
      <c r="Y82" s="201">
        <f>SUM(Y76:Y81)</f>
        <v>998847.6200000001</v>
      </c>
      <c r="Z82" s="200">
        <f>AA82*100/$F$82</f>
        <v>6.29611896262923</v>
      </c>
      <c r="AA82" s="201">
        <f>SUM(AA76:AA81)</f>
        <v>805653.1799999999</v>
      </c>
      <c r="AB82" s="200">
        <f>AC82*100/$F$82</f>
        <v>6.248099610562373</v>
      </c>
      <c r="AC82" s="201">
        <f>SUM(AC76:AC81)</f>
        <v>799508.6099999999</v>
      </c>
      <c r="AD82" s="200">
        <f>AE82*100/$F$82</f>
        <v>5.167665556669926</v>
      </c>
      <c r="AE82" s="201">
        <f>SUM(AE76:AE81)</f>
        <v>661255.96</v>
      </c>
      <c r="AF82" s="200">
        <f>AG82*100/$F$82</f>
        <v>2.709421197719976</v>
      </c>
      <c r="AG82" s="201">
        <f>SUM(AG76:AG81)</f>
        <v>346698.31</v>
      </c>
      <c r="AH82" s="200">
        <f>AI82*100/$F$82</f>
        <v>2.0728328243687772</v>
      </c>
      <c r="AI82" s="201">
        <f>SUM(AI76:AI81)</f>
        <v>265240.28</v>
      </c>
      <c r="AJ82" s="200">
        <f>AK82*100/$F$82</f>
        <v>2.0844848771457305</v>
      </c>
      <c r="AK82" s="202">
        <f>SUM(AK76:AK81)</f>
        <v>266731.28</v>
      </c>
      <c r="AL82" s="200">
        <f>AM82*100/$F$82</f>
        <v>2.0293777790922487</v>
      </c>
      <c r="AM82" s="201">
        <f>SUM(AM76:AM81)</f>
        <v>259679.76</v>
      </c>
      <c r="AN82" s="200">
        <f>AO82*100/$F$82</f>
        <v>1.992800649073263</v>
      </c>
      <c r="AO82" s="201">
        <f>SUM(AO76:AO81)</f>
        <v>254999.34</v>
      </c>
      <c r="AP82" s="200">
        <f>AQ82*100/$F$82</f>
        <v>1.9417791155209643</v>
      </c>
      <c r="AQ82" s="201">
        <f>SUM(AQ76:AQ81)</f>
        <v>248470.61000000002</v>
      </c>
      <c r="AR82" s="200">
        <f>AS82*100/$F$82</f>
        <v>1.9136589844510785</v>
      </c>
      <c r="AS82" s="201">
        <f>SUM(AS76:AS81)</f>
        <v>244872.35</v>
      </c>
      <c r="AT82" s="200">
        <f>AU82*100/$F$82</f>
        <v>2.084411651300982</v>
      </c>
      <c r="AU82" s="201">
        <f>SUM(AU76:AU81)</f>
        <v>266721.91000000003</v>
      </c>
      <c r="AV82" s="200">
        <f>AW82*100/$F$82</f>
        <v>2.4814524972281347</v>
      </c>
      <c r="AW82" s="201">
        <f>SUM(AW76:AW81)</f>
        <v>317527.37</v>
      </c>
      <c r="AX82" s="200">
        <f>AY82*100/$F$82</f>
        <v>2.851112503965147</v>
      </c>
      <c r="AY82" s="201">
        <f>SUM(AY76:AY81)</f>
        <v>364829.17</v>
      </c>
      <c r="AZ82" s="200">
        <f>BA82*100/$F$82</f>
        <v>2.8518417145919863</v>
      </c>
      <c r="BA82" s="201">
        <f>SUM(BA76:BA81)</f>
        <v>364922.48</v>
      </c>
      <c r="BB82" s="200">
        <f>BC82*100/$F$82</f>
        <v>2.87674889565638</v>
      </c>
      <c r="BC82" s="201">
        <f>SUM(BC76:BC81)</f>
        <v>368109.61</v>
      </c>
      <c r="BD82" s="200">
        <f>BE82*100/$F$82</f>
        <v>2.2197555193794885</v>
      </c>
      <c r="BE82" s="201">
        <f>SUM(BE76:BE81)</f>
        <v>284040.55000000005</v>
      </c>
      <c r="BF82" s="117"/>
      <c r="BG82" s="120"/>
      <c r="BH82" s="117"/>
      <c r="BI82" s="120"/>
      <c r="BJ82" s="117"/>
      <c r="BK82" s="120"/>
      <c r="BL82" s="117"/>
      <c r="BM82" s="120"/>
    </row>
    <row r="83" spans="1:65" ht="15" customHeight="1" thickBot="1">
      <c r="A83" s="167"/>
      <c r="B83" s="168"/>
      <c r="C83" s="169"/>
      <c r="D83" s="169"/>
      <c r="E83" s="170"/>
      <c r="F83" s="220"/>
      <c r="G83" s="234"/>
      <c r="H83" s="216"/>
      <c r="I83" s="238"/>
      <c r="J83" s="226"/>
      <c r="K83" s="244"/>
      <c r="L83" s="226"/>
      <c r="M83" s="246"/>
      <c r="N83" s="226"/>
      <c r="O83" s="246"/>
      <c r="P83" s="226"/>
      <c r="Q83" s="245"/>
      <c r="R83" s="128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29"/>
      <c r="AG83" s="130"/>
      <c r="AH83" s="131"/>
      <c r="AI83" s="130"/>
      <c r="AJ83" s="129"/>
      <c r="AK83" s="132"/>
      <c r="AL83" s="131"/>
      <c r="AM83" s="130"/>
      <c r="AN83" s="131"/>
      <c r="AO83" s="128"/>
      <c r="AP83" s="131"/>
      <c r="AQ83" s="130"/>
      <c r="AR83" s="130"/>
      <c r="AS83" s="130"/>
      <c r="AT83" s="130"/>
      <c r="AU83" s="130"/>
      <c r="AV83" s="130"/>
      <c r="AW83" s="130"/>
      <c r="AX83" s="130"/>
      <c r="AY83" s="130"/>
      <c r="AZ83" s="129"/>
      <c r="BA83" s="178"/>
      <c r="BB83" s="129"/>
      <c r="BC83" s="178"/>
      <c r="BD83" s="129"/>
      <c r="BE83" s="178"/>
      <c r="BF83" s="117"/>
      <c r="BG83" s="120"/>
      <c r="BH83" s="117"/>
      <c r="BI83" s="120"/>
      <c r="BJ83" s="117"/>
      <c r="BK83" s="120"/>
      <c r="BL83" s="117"/>
      <c r="BM83" s="120"/>
    </row>
    <row r="84" spans="1:65" ht="13.5" thickBot="1">
      <c r="A84" s="171"/>
      <c r="B84" s="172"/>
      <c r="C84" s="172"/>
      <c r="D84" s="172"/>
      <c r="E84" s="173"/>
      <c r="F84" s="159"/>
      <c r="G84" s="222"/>
      <c r="H84" s="160"/>
      <c r="I84" s="175"/>
      <c r="J84" s="240"/>
      <c r="K84" s="174"/>
      <c r="L84" s="240"/>
      <c r="M84" s="174"/>
      <c r="N84" s="240"/>
      <c r="O84" s="174"/>
      <c r="P84" s="240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6"/>
      <c r="AG84" s="174"/>
      <c r="AH84" s="176"/>
      <c r="AI84" s="174"/>
      <c r="AJ84" s="176"/>
      <c r="AK84" s="174"/>
      <c r="AL84" s="176"/>
      <c r="AM84" s="174"/>
      <c r="AN84" s="176"/>
      <c r="AO84" s="174"/>
      <c r="AP84" s="176"/>
      <c r="AQ84" s="174"/>
      <c r="AR84" s="174"/>
      <c r="AS84" s="174"/>
      <c r="AT84" s="174"/>
      <c r="AU84" s="174"/>
      <c r="AV84" s="174"/>
      <c r="AW84" s="174"/>
      <c r="AX84" s="174"/>
      <c r="AY84" s="174"/>
      <c r="AZ84" s="176"/>
      <c r="BA84" s="174"/>
      <c r="BB84" s="176"/>
      <c r="BC84" s="174"/>
      <c r="BD84" s="176"/>
      <c r="BE84" s="174"/>
      <c r="BF84" s="121"/>
      <c r="BG84" s="15"/>
      <c r="BH84" s="121"/>
      <c r="BI84" s="15"/>
      <c r="BJ84" s="121"/>
      <c r="BK84" s="15"/>
      <c r="BL84" s="121"/>
      <c r="BM84" s="15"/>
    </row>
    <row r="85" spans="1:65" ht="12.75">
      <c r="A85" s="48" t="s">
        <v>16</v>
      </c>
      <c r="B85" s="49"/>
      <c r="C85" s="50"/>
      <c r="D85" s="50"/>
      <c r="E85" s="50"/>
      <c r="F85" s="61" t="s">
        <v>17</v>
      </c>
      <c r="G85" s="20"/>
      <c r="H85" s="92">
        <f aca="true" t="shared" si="55" ref="H85:BA85">H82</f>
        <v>0</v>
      </c>
      <c r="I85" s="93">
        <f t="shared" si="55"/>
        <v>0</v>
      </c>
      <c r="J85" s="92">
        <f t="shared" si="55"/>
        <v>1.8347913110900338</v>
      </c>
      <c r="K85" s="93">
        <f t="shared" si="55"/>
        <v>234780.42</v>
      </c>
      <c r="L85" s="92">
        <f t="shared" si="55"/>
        <v>3.3698983111443597</v>
      </c>
      <c r="M85" s="93">
        <f t="shared" si="55"/>
        <v>431213.15</v>
      </c>
      <c r="N85" s="92">
        <f t="shared" si="55"/>
        <v>5.051536400331024</v>
      </c>
      <c r="O85" s="93">
        <f t="shared" si="55"/>
        <v>646396.04</v>
      </c>
      <c r="P85" s="92">
        <f t="shared" si="55"/>
        <v>8.486990207598437</v>
      </c>
      <c r="Q85" s="93">
        <f t="shared" si="55"/>
        <v>1085997.69</v>
      </c>
      <c r="R85" s="92">
        <f t="shared" si="55"/>
        <v>8.639051371919612</v>
      </c>
      <c r="S85" s="93">
        <f t="shared" si="55"/>
        <v>1105455.48</v>
      </c>
      <c r="T85" s="92">
        <f t="shared" si="55"/>
        <v>8.599437205850876</v>
      </c>
      <c r="U85" s="93">
        <f t="shared" si="55"/>
        <v>1100386.44</v>
      </c>
      <c r="V85" s="92">
        <f t="shared" si="55"/>
        <v>8.390813882640174</v>
      </c>
      <c r="W85" s="93">
        <f t="shared" si="55"/>
        <v>1073690.94</v>
      </c>
      <c r="X85" s="92">
        <f t="shared" si="55"/>
        <v>7.805918970069822</v>
      </c>
      <c r="Y85" s="93">
        <f t="shared" si="55"/>
        <v>998847.6200000001</v>
      </c>
      <c r="Z85" s="92">
        <f t="shared" si="55"/>
        <v>6.29611896262923</v>
      </c>
      <c r="AA85" s="93">
        <f t="shared" si="55"/>
        <v>805653.1799999999</v>
      </c>
      <c r="AB85" s="92">
        <f t="shared" si="55"/>
        <v>6.248099610562373</v>
      </c>
      <c r="AC85" s="93">
        <f t="shared" si="55"/>
        <v>799508.6099999999</v>
      </c>
      <c r="AD85" s="92">
        <f t="shared" si="55"/>
        <v>5.167665556669926</v>
      </c>
      <c r="AE85" s="93">
        <f t="shared" si="55"/>
        <v>661255.96</v>
      </c>
      <c r="AF85" s="92">
        <f t="shared" si="55"/>
        <v>2.709421197719976</v>
      </c>
      <c r="AG85" s="93">
        <f t="shared" si="55"/>
        <v>346698.31</v>
      </c>
      <c r="AH85" s="92">
        <f t="shared" si="55"/>
        <v>2.0728328243687772</v>
      </c>
      <c r="AI85" s="93">
        <f t="shared" si="55"/>
        <v>265240.28</v>
      </c>
      <c r="AJ85" s="92">
        <f t="shared" si="55"/>
        <v>2.0844848771457305</v>
      </c>
      <c r="AK85" s="126">
        <f t="shared" si="55"/>
        <v>266731.28</v>
      </c>
      <c r="AL85" s="92">
        <f t="shared" si="55"/>
        <v>2.0293777790922487</v>
      </c>
      <c r="AM85" s="93">
        <f t="shared" si="55"/>
        <v>259679.76</v>
      </c>
      <c r="AN85" s="92">
        <f t="shared" si="55"/>
        <v>1.992800649073263</v>
      </c>
      <c r="AO85" s="93">
        <f t="shared" si="55"/>
        <v>254999.34</v>
      </c>
      <c r="AP85" s="92">
        <f t="shared" si="55"/>
        <v>1.9417791155209643</v>
      </c>
      <c r="AQ85" s="93">
        <f t="shared" si="55"/>
        <v>248470.61000000002</v>
      </c>
      <c r="AR85" s="92">
        <f t="shared" si="55"/>
        <v>1.9136589844510785</v>
      </c>
      <c r="AS85" s="93">
        <f t="shared" si="55"/>
        <v>244872.35</v>
      </c>
      <c r="AT85" s="92">
        <f t="shared" si="55"/>
        <v>2.084411651300982</v>
      </c>
      <c r="AU85" s="93">
        <f t="shared" si="55"/>
        <v>266721.91000000003</v>
      </c>
      <c r="AV85" s="92">
        <f t="shared" si="55"/>
        <v>2.4814524972281347</v>
      </c>
      <c r="AW85" s="93">
        <f t="shared" si="55"/>
        <v>317527.37</v>
      </c>
      <c r="AX85" s="92">
        <f t="shared" si="55"/>
        <v>2.851112503965147</v>
      </c>
      <c r="AY85" s="93">
        <f t="shared" si="55"/>
        <v>364829.17</v>
      </c>
      <c r="AZ85" s="92">
        <f t="shared" si="55"/>
        <v>2.8518417145919863</v>
      </c>
      <c r="BA85" s="93">
        <f t="shared" si="55"/>
        <v>364922.48</v>
      </c>
      <c r="BB85" s="92">
        <f>BB82</f>
        <v>2.87674889565638</v>
      </c>
      <c r="BC85" s="93">
        <f>BC82</f>
        <v>368109.61</v>
      </c>
      <c r="BD85" s="92">
        <f>BD82</f>
        <v>2.2197555193794885</v>
      </c>
      <c r="BE85" s="93">
        <f>BE82</f>
        <v>284040.55000000005</v>
      </c>
      <c r="BF85" s="96"/>
      <c r="BG85" s="90"/>
      <c r="BH85" s="96"/>
      <c r="BI85" s="90"/>
      <c r="BJ85" s="96"/>
      <c r="BK85" s="90"/>
      <c r="BL85" s="96"/>
      <c r="BM85" s="90"/>
    </row>
    <row r="86" spans="1:65" ht="13.5" thickBot="1">
      <c r="A86" s="51"/>
      <c r="B86" s="52"/>
      <c r="C86" s="53"/>
      <c r="D86" s="53"/>
      <c r="E86" s="53"/>
      <c r="F86" s="62" t="s">
        <v>18</v>
      </c>
      <c r="G86" s="54"/>
      <c r="H86" s="194">
        <f>H85</f>
        <v>0</v>
      </c>
      <c r="I86" s="194">
        <f>(G86+I85)</f>
        <v>0</v>
      </c>
      <c r="J86" s="194">
        <f>H86+J85</f>
        <v>1.8347913110900338</v>
      </c>
      <c r="K86" s="194">
        <f>(I86+K85)</f>
        <v>234780.42</v>
      </c>
      <c r="L86" s="194">
        <f>J86+L85</f>
        <v>5.204689622234394</v>
      </c>
      <c r="M86" s="194">
        <f>(K86+M85)</f>
        <v>665993.5700000001</v>
      </c>
      <c r="N86" s="194">
        <f>L86+N85</f>
        <v>10.256226022565418</v>
      </c>
      <c r="O86" s="194">
        <f>(M86+O85)</f>
        <v>1312389.61</v>
      </c>
      <c r="P86" s="194">
        <f>N86+P85</f>
        <v>18.743216230163853</v>
      </c>
      <c r="Q86" s="194">
        <f>(O86+Q85)</f>
        <v>2398387.3</v>
      </c>
      <c r="R86" s="194">
        <f>P86+R85</f>
        <v>27.382267602083466</v>
      </c>
      <c r="S86" s="194">
        <f>(Q86+S85)</f>
        <v>3503842.78</v>
      </c>
      <c r="T86" s="194">
        <f>R86+T85</f>
        <v>35.98170480793434</v>
      </c>
      <c r="U86" s="194">
        <f>(S86+U85)</f>
        <v>4604229.22</v>
      </c>
      <c r="V86" s="194">
        <f>T86+V85</f>
        <v>44.372518690574516</v>
      </c>
      <c r="W86" s="194">
        <f>(U86+W85)</f>
        <v>5677920.16</v>
      </c>
      <c r="X86" s="194">
        <f>V86+X85</f>
        <v>52.178437660644335</v>
      </c>
      <c r="Y86" s="194">
        <f>(W86+Y85)</f>
        <v>6676767.78</v>
      </c>
      <c r="Z86" s="194">
        <f>X86+Z85</f>
        <v>58.474556623273564</v>
      </c>
      <c r="AA86" s="194">
        <f>(Y86+AA85)</f>
        <v>7482420.96</v>
      </c>
      <c r="AB86" s="194">
        <f>Z86+AB85</f>
        <v>64.72265623383593</v>
      </c>
      <c r="AC86" s="194">
        <f>(AA86+AC85)</f>
        <v>8281929.57</v>
      </c>
      <c r="AD86" s="194">
        <f>AB86+AD85</f>
        <v>69.89032179050587</v>
      </c>
      <c r="AE86" s="194">
        <f>(AC86+AE85)</f>
        <v>8943185.530000001</v>
      </c>
      <c r="AF86" s="194">
        <f>AD86+AF85</f>
        <v>72.59974298822584</v>
      </c>
      <c r="AG86" s="194">
        <f>(AE86+AG85)</f>
        <v>9289883.840000002</v>
      </c>
      <c r="AH86" s="194">
        <f>AF86+AH85</f>
        <v>74.67257581259462</v>
      </c>
      <c r="AI86" s="194">
        <f>(AG86+AI85)</f>
        <v>9555124.120000001</v>
      </c>
      <c r="AJ86" s="194">
        <f>AH86+AJ85</f>
        <v>76.75706068974034</v>
      </c>
      <c r="AK86" s="195">
        <f>(AI86+AK85)</f>
        <v>9821855.4</v>
      </c>
      <c r="AL86" s="194">
        <f>AJ86+AL85</f>
        <v>78.78643846883259</v>
      </c>
      <c r="AM86" s="194">
        <f>(AK86+AM85)</f>
        <v>10081535.16</v>
      </c>
      <c r="AN86" s="194">
        <f>AL86+AN85</f>
        <v>80.77923911790585</v>
      </c>
      <c r="AO86" s="194">
        <f>(AM86+AO85)</f>
        <v>10336534.5</v>
      </c>
      <c r="AP86" s="194">
        <f>AN86+AP85</f>
        <v>82.7210182334268</v>
      </c>
      <c r="AQ86" s="194">
        <f>(AO86+AQ85)</f>
        <v>10585005.11</v>
      </c>
      <c r="AR86" s="194">
        <f>AP86+AR85</f>
        <v>84.63467721787788</v>
      </c>
      <c r="AS86" s="194">
        <f>(AQ86+AS85)</f>
        <v>10829877.459999999</v>
      </c>
      <c r="AT86" s="194">
        <f>AR86+AT85</f>
        <v>86.71908886917886</v>
      </c>
      <c r="AU86" s="194">
        <f>(AS86+AU85)</f>
        <v>11096599.37</v>
      </c>
      <c r="AV86" s="194">
        <f>AT86+AV85</f>
        <v>89.200541366407</v>
      </c>
      <c r="AW86" s="194">
        <f>(AU86+AW85)</f>
        <v>11414126.739999998</v>
      </c>
      <c r="AX86" s="194">
        <f>AV86+AX85</f>
        <v>92.05165387037214</v>
      </c>
      <c r="AY86" s="194">
        <f>(AW86+AY85)</f>
        <v>11778955.909999998</v>
      </c>
      <c r="AZ86" s="194">
        <f>AX86+AZ85</f>
        <v>94.90349558496412</v>
      </c>
      <c r="BA86" s="194">
        <f>(AY86+BA85)</f>
        <v>12143878.389999999</v>
      </c>
      <c r="BB86" s="194">
        <f>AZ86+BB85</f>
        <v>97.7802444806205</v>
      </c>
      <c r="BC86" s="194">
        <f>(BA86+BC85)</f>
        <v>12511987.999999998</v>
      </c>
      <c r="BD86" s="194">
        <f>BB86+BD85</f>
        <v>99.99999999999999</v>
      </c>
      <c r="BE86" s="194">
        <f>(BC86+BE85)</f>
        <v>12796028.549999999</v>
      </c>
      <c r="BF86" s="96"/>
      <c r="BG86" s="96"/>
      <c r="BH86" s="96"/>
      <c r="BI86" s="96"/>
      <c r="BJ86" s="96"/>
      <c r="BK86" s="96"/>
      <c r="BL86" s="96"/>
      <c r="BM86" s="96"/>
    </row>
    <row r="87" spans="1:65" ht="13.5" thickBot="1">
      <c r="A87" s="97"/>
      <c r="B87" s="55"/>
      <c r="C87" s="55"/>
      <c r="D87" s="55"/>
      <c r="E87" s="55"/>
      <c r="F87" s="98"/>
      <c r="G87" s="30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</row>
    <row r="88" spans="1:65" ht="12.75">
      <c r="A88" s="48" t="s">
        <v>40</v>
      </c>
      <c r="B88" s="49"/>
      <c r="C88" s="50"/>
      <c r="D88" s="50"/>
      <c r="E88" s="50"/>
      <c r="F88" s="61" t="s">
        <v>17</v>
      </c>
      <c r="G88" s="20"/>
      <c r="H88" s="92">
        <f aca="true" t="shared" si="56" ref="H88:BA88">H85</f>
        <v>0</v>
      </c>
      <c r="I88" s="93">
        <f t="shared" si="56"/>
        <v>0</v>
      </c>
      <c r="J88" s="92">
        <f t="shared" si="56"/>
        <v>1.8347913110900338</v>
      </c>
      <c r="K88" s="93">
        <f t="shared" si="56"/>
        <v>234780.42</v>
      </c>
      <c r="L88" s="92">
        <f t="shared" si="56"/>
        <v>3.3698983111443597</v>
      </c>
      <c r="M88" s="93">
        <f t="shared" si="56"/>
        <v>431213.15</v>
      </c>
      <c r="N88" s="92">
        <f t="shared" si="56"/>
        <v>5.051536400331024</v>
      </c>
      <c r="O88" s="93">
        <f t="shared" si="56"/>
        <v>646396.04</v>
      </c>
      <c r="P88" s="92">
        <f t="shared" si="56"/>
        <v>8.486990207598437</v>
      </c>
      <c r="Q88" s="93">
        <f t="shared" si="56"/>
        <v>1085997.69</v>
      </c>
      <c r="R88" s="92">
        <f t="shared" si="56"/>
        <v>8.639051371919612</v>
      </c>
      <c r="S88" s="93">
        <f t="shared" si="56"/>
        <v>1105455.48</v>
      </c>
      <c r="T88" s="92">
        <f t="shared" si="56"/>
        <v>8.599437205850876</v>
      </c>
      <c r="U88" s="93">
        <f t="shared" si="56"/>
        <v>1100386.44</v>
      </c>
      <c r="V88" s="92">
        <f t="shared" si="56"/>
        <v>8.390813882640174</v>
      </c>
      <c r="W88" s="93">
        <f t="shared" si="56"/>
        <v>1073690.94</v>
      </c>
      <c r="X88" s="92">
        <f t="shared" si="56"/>
        <v>7.805918970069822</v>
      </c>
      <c r="Y88" s="93">
        <f t="shared" si="56"/>
        <v>998847.6200000001</v>
      </c>
      <c r="Z88" s="92">
        <f t="shared" si="56"/>
        <v>6.29611896262923</v>
      </c>
      <c r="AA88" s="93">
        <f t="shared" si="56"/>
        <v>805653.1799999999</v>
      </c>
      <c r="AB88" s="92">
        <f t="shared" si="56"/>
        <v>6.248099610562373</v>
      </c>
      <c r="AC88" s="93">
        <f t="shared" si="56"/>
        <v>799508.6099999999</v>
      </c>
      <c r="AD88" s="92">
        <f t="shared" si="56"/>
        <v>5.167665556669926</v>
      </c>
      <c r="AE88" s="93">
        <f t="shared" si="56"/>
        <v>661255.96</v>
      </c>
      <c r="AF88" s="92">
        <f t="shared" si="56"/>
        <v>2.709421197719976</v>
      </c>
      <c r="AG88" s="93">
        <f t="shared" si="56"/>
        <v>346698.31</v>
      </c>
      <c r="AH88" s="92">
        <f t="shared" si="56"/>
        <v>2.0728328243687772</v>
      </c>
      <c r="AI88" s="93">
        <f t="shared" si="56"/>
        <v>265240.28</v>
      </c>
      <c r="AJ88" s="92">
        <f t="shared" si="56"/>
        <v>2.0844848771457305</v>
      </c>
      <c r="AK88" s="126">
        <f t="shared" si="56"/>
        <v>266731.28</v>
      </c>
      <c r="AL88" s="92">
        <f t="shared" si="56"/>
        <v>2.0293777790922487</v>
      </c>
      <c r="AM88" s="93">
        <f t="shared" si="56"/>
        <v>259679.76</v>
      </c>
      <c r="AN88" s="92">
        <f t="shared" si="56"/>
        <v>1.992800649073263</v>
      </c>
      <c r="AO88" s="93">
        <f t="shared" si="56"/>
        <v>254999.34</v>
      </c>
      <c r="AP88" s="92">
        <f t="shared" si="56"/>
        <v>1.9417791155209643</v>
      </c>
      <c r="AQ88" s="93">
        <f t="shared" si="56"/>
        <v>248470.61000000002</v>
      </c>
      <c r="AR88" s="92">
        <f t="shared" si="56"/>
        <v>1.9136589844510785</v>
      </c>
      <c r="AS88" s="93">
        <f t="shared" si="56"/>
        <v>244872.35</v>
      </c>
      <c r="AT88" s="92">
        <f t="shared" si="56"/>
        <v>2.084411651300982</v>
      </c>
      <c r="AU88" s="93">
        <f t="shared" si="56"/>
        <v>266721.91000000003</v>
      </c>
      <c r="AV88" s="92">
        <f t="shared" si="56"/>
        <v>2.4814524972281347</v>
      </c>
      <c r="AW88" s="93">
        <f t="shared" si="56"/>
        <v>317527.37</v>
      </c>
      <c r="AX88" s="92">
        <f t="shared" si="56"/>
        <v>2.851112503965147</v>
      </c>
      <c r="AY88" s="93">
        <f t="shared" si="56"/>
        <v>364829.17</v>
      </c>
      <c r="AZ88" s="92">
        <f t="shared" si="56"/>
        <v>2.8518417145919863</v>
      </c>
      <c r="BA88" s="93">
        <f t="shared" si="56"/>
        <v>364922.48</v>
      </c>
      <c r="BB88" s="92">
        <f>BB85</f>
        <v>2.87674889565638</v>
      </c>
      <c r="BC88" s="93">
        <f>BC85</f>
        <v>368109.61</v>
      </c>
      <c r="BD88" s="92">
        <f>BD85</f>
        <v>2.2197555193794885</v>
      </c>
      <c r="BE88" s="93">
        <f>BE85</f>
        <v>284040.55000000005</v>
      </c>
      <c r="BF88" s="91"/>
      <c r="BG88" s="91"/>
      <c r="BH88" s="248"/>
      <c r="BI88" s="248"/>
      <c r="BJ88" s="248"/>
      <c r="BK88" s="248"/>
      <c r="BL88" s="248"/>
      <c r="BM88" s="119"/>
    </row>
    <row r="89" spans="1:64" ht="13.5" thickBot="1">
      <c r="A89" s="51"/>
      <c r="B89" s="52"/>
      <c r="C89" s="53"/>
      <c r="D89" s="53"/>
      <c r="E89" s="53"/>
      <c r="F89" s="62" t="s">
        <v>18</v>
      </c>
      <c r="G89" s="54"/>
      <c r="H89" s="194">
        <f>H88</f>
        <v>0</v>
      </c>
      <c r="I89" s="194">
        <f>(G89+I88)</f>
        <v>0</v>
      </c>
      <c r="J89" s="194">
        <f>H89+J88</f>
        <v>1.8347913110900338</v>
      </c>
      <c r="K89" s="194">
        <f>(I89+K88)</f>
        <v>234780.42</v>
      </c>
      <c r="L89" s="194">
        <f>J89+L88</f>
        <v>5.204689622234394</v>
      </c>
      <c r="M89" s="194">
        <f>(K89+M88)</f>
        <v>665993.5700000001</v>
      </c>
      <c r="N89" s="194">
        <f>L89+N88</f>
        <v>10.256226022565418</v>
      </c>
      <c r="O89" s="194">
        <f>(M89+O88)</f>
        <v>1312389.61</v>
      </c>
      <c r="P89" s="194">
        <f>N89+P88</f>
        <v>18.743216230163853</v>
      </c>
      <c r="Q89" s="194">
        <f>(O89+Q88)</f>
        <v>2398387.3</v>
      </c>
      <c r="R89" s="194">
        <f>P89+R88</f>
        <v>27.382267602083466</v>
      </c>
      <c r="S89" s="194">
        <f>(Q89+S88)</f>
        <v>3503842.78</v>
      </c>
      <c r="T89" s="194">
        <f>R89+T88</f>
        <v>35.98170480793434</v>
      </c>
      <c r="U89" s="194">
        <f>(S89+U88)</f>
        <v>4604229.22</v>
      </c>
      <c r="V89" s="194">
        <f>T89+V88</f>
        <v>44.372518690574516</v>
      </c>
      <c r="W89" s="194">
        <f>(U89+W88)</f>
        <v>5677920.16</v>
      </c>
      <c r="X89" s="194">
        <f>V89+X88</f>
        <v>52.178437660644335</v>
      </c>
      <c r="Y89" s="194">
        <f>(W89+Y88)</f>
        <v>6676767.78</v>
      </c>
      <c r="Z89" s="194">
        <f>X89+Z88</f>
        <v>58.474556623273564</v>
      </c>
      <c r="AA89" s="194">
        <f>(Y89+AA88)</f>
        <v>7482420.96</v>
      </c>
      <c r="AB89" s="194">
        <f>Z89+AB88</f>
        <v>64.72265623383593</v>
      </c>
      <c r="AC89" s="194">
        <f>(AA89+AC88)</f>
        <v>8281929.57</v>
      </c>
      <c r="AD89" s="194">
        <f>AB89+AD88</f>
        <v>69.89032179050587</v>
      </c>
      <c r="AE89" s="194">
        <f>(AC89+AE88)</f>
        <v>8943185.530000001</v>
      </c>
      <c r="AF89" s="194">
        <f>AD89+AF88</f>
        <v>72.59974298822584</v>
      </c>
      <c r="AG89" s="194">
        <f>(AE89+AG88)</f>
        <v>9289883.840000002</v>
      </c>
      <c r="AH89" s="194">
        <f>AF89+AH88</f>
        <v>74.67257581259462</v>
      </c>
      <c r="AI89" s="194">
        <f>(AG89+AI88)</f>
        <v>9555124.120000001</v>
      </c>
      <c r="AJ89" s="194">
        <f>AH89+AJ88</f>
        <v>76.75706068974034</v>
      </c>
      <c r="AK89" s="195">
        <f>(AI89+AK88)</f>
        <v>9821855.4</v>
      </c>
      <c r="AL89" s="194">
        <f>AJ89+AL88</f>
        <v>78.78643846883259</v>
      </c>
      <c r="AM89" s="194">
        <f>(AK89+AM88)</f>
        <v>10081535.16</v>
      </c>
      <c r="AN89" s="194">
        <f>AL89+AN88</f>
        <v>80.77923911790585</v>
      </c>
      <c r="AO89" s="194">
        <f>(AM89+AO88)</f>
        <v>10336534.5</v>
      </c>
      <c r="AP89" s="194">
        <f>AN89+AP88</f>
        <v>82.7210182334268</v>
      </c>
      <c r="AQ89" s="194">
        <f>(AO89+AQ88)</f>
        <v>10585005.11</v>
      </c>
      <c r="AR89" s="194">
        <f>AP89+AR88</f>
        <v>84.63467721787788</v>
      </c>
      <c r="AS89" s="194">
        <f>(AQ89+AS88)</f>
        <v>10829877.459999999</v>
      </c>
      <c r="AT89" s="194">
        <f>AR89+AT88</f>
        <v>86.71908886917886</v>
      </c>
      <c r="AU89" s="194">
        <f>(AS89+AU88)</f>
        <v>11096599.37</v>
      </c>
      <c r="AV89" s="194">
        <f>AT89+AV88</f>
        <v>89.200541366407</v>
      </c>
      <c r="AW89" s="194">
        <f>(AU89+AW88)</f>
        <v>11414126.739999998</v>
      </c>
      <c r="AX89" s="194">
        <f>AV89+AX88</f>
        <v>92.05165387037214</v>
      </c>
      <c r="AY89" s="194">
        <f>(AW89+AY88)</f>
        <v>11778955.909999998</v>
      </c>
      <c r="AZ89" s="194">
        <f>AX89+AZ88</f>
        <v>94.90349558496412</v>
      </c>
      <c r="BA89" s="194">
        <f>(AY89+BA88)</f>
        <v>12143878.389999999</v>
      </c>
      <c r="BB89" s="194">
        <f>AZ89+BB88</f>
        <v>97.7802444806205</v>
      </c>
      <c r="BC89" s="194">
        <f>(BA89+BC88)</f>
        <v>12511987.999999998</v>
      </c>
      <c r="BD89" s="194">
        <f>BB89+BD88</f>
        <v>99.99999999999999</v>
      </c>
      <c r="BE89" s="194">
        <f>(BC89+BE88)</f>
        <v>12796028.549999999</v>
      </c>
      <c r="BF89" s="96"/>
      <c r="BG89" s="96"/>
      <c r="BH89" s="21"/>
      <c r="BI89" s="21"/>
      <c r="BJ89" s="21"/>
      <c r="BK89" s="21"/>
      <c r="BL89" s="21"/>
    </row>
    <row r="90" spans="1:64" ht="12.75">
      <c r="A90" s="97"/>
      <c r="B90" s="55"/>
      <c r="C90" s="55"/>
      <c r="D90" s="55"/>
      <c r="E90" s="55"/>
      <c r="F90" s="98"/>
      <c r="G90" s="30"/>
      <c r="H90" s="96" t="s">
        <v>36</v>
      </c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21"/>
      <c r="BI90" s="21"/>
      <c r="BJ90" s="21"/>
      <c r="BK90" s="21"/>
      <c r="BL90" s="21"/>
    </row>
    <row r="91" spans="1:64" ht="12.75">
      <c r="A91" s="16"/>
      <c r="B91" s="55"/>
      <c r="C91" s="55"/>
      <c r="D91" s="55"/>
      <c r="E91" s="56"/>
      <c r="F91" s="56"/>
      <c r="G91" s="33"/>
      <c r="H91" s="30"/>
      <c r="I91" s="30"/>
      <c r="J91" s="30"/>
      <c r="K91" s="30"/>
      <c r="L91" s="116"/>
      <c r="M91" s="30"/>
      <c r="N91" s="30"/>
      <c r="O91" s="30"/>
      <c r="P91" s="30"/>
      <c r="Q91" s="30"/>
      <c r="R91" s="30"/>
      <c r="S91" s="30"/>
      <c r="T91" s="90"/>
      <c r="U91" s="30"/>
      <c r="V91" s="30"/>
      <c r="W91" s="30"/>
      <c r="X91" s="30"/>
      <c r="Y91" s="206"/>
      <c r="Z91" s="30"/>
      <c r="AA91" s="30"/>
      <c r="AB91" s="90"/>
      <c r="AC91" s="30"/>
      <c r="AD91" s="90"/>
      <c r="AE91" s="30"/>
      <c r="AF91" s="90"/>
      <c r="AG91" s="30"/>
      <c r="AH91" s="30"/>
      <c r="AI91" s="30"/>
      <c r="AJ91" s="30"/>
      <c r="AK91" s="30"/>
      <c r="AL91" s="90"/>
      <c r="AM91" s="30"/>
      <c r="AN91" s="30"/>
      <c r="AO91" s="30"/>
      <c r="AP91" s="9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21"/>
      <c r="BI91" s="21"/>
      <c r="BJ91" s="21"/>
      <c r="BK91" s="21"/>
      <c r="BL91" s="21"/>
    </row>
    <row r="92" spans="1:64" ht="15.75">
      <c r="A92" s="232"/>
      <c r="B92" s="16"/>
      <c r="C92" s="16"/>
      <c r="D92" s="16"/>
      <c r="E92" s="16"/>
      <c r="F92" s="16"/>
      <c r="G92" s="16"/>
      <c r="H92" s="18"/>
      <c r="I92" s="18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21"/>
      <c r="BI92" s="21"/>
      <c r="BJ92" s="21"/>
      <c r="BK92" s="21"/>
      <c r="BL92" s="21"/>
    </row>
    <row r="93" spans="1:64" ht="12.75">
      <c r="A93" s="16"/>
      <c r="B93" s="16"/>
      <c r="C93" s="16"/>
      <c r="D93" s="16"/>
      <c r="E93" s="16"/>
      <c r="F93" s="16"/>
      <c r="G93" s="16"/>
      <c r="H93" s="18"/>
      <c r="I93" s="1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21"/>
      <c r="BI93" s="21"/>
      <c r="BJ93" s="21"/>
      <c r="BK93" s="21"/>
      <c r="BL93" s="21"/>
    </row>
    <row r="94" spans="1:64" ht="12.75">
      <c r="A94" s="16"/>
      <c r="B94" s="55"/>
      <c r="C94" s="55"/>
      <c r="D94" s="55"/>
      <c r="E94" s="56"/>
      <c r="F94" s="56"/>
      <c r="G94" s="33"/>
      <c r="H94" s="30"/>
      <c r="I94" s="203"/>
      <c r="J94" s="58" t="s">
        <v>20</v>
      </c>
      <c r="K94" s="204"/>
      <c r="L94" s="204"/>
      <c r="M94" s="204"/>
      <c r="N94" s="205"/>
      <c r="O94" s="204"/>
      <c r="P94" s="205"/>
      <c r="Q94" s="204"/>
      <c r="R94" s="205"/>
      <c r="S94" s="204"/>
      <c r="T94" s="205"/>
      <c r="U94" s="204"/>
      <c r="V94" s="205"/>
      <c r="W94" s="204"/>
      <c r="X94" s="205"/>
      <c r="Y94" s="204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21"/>
      <c r="BI94" s="21"/>
      <c r="BJ94" s="21"/>
      <c r="BK94" s="21"/>
      <c r="BL94" s="21"/>
    </row>
    <row r="95" spans="1:64" ht="12.75">
      <c r="A95" s="4"/>
      <c r="B95" s="4"/>
      <c r="C95" s="4"/>
      <c r="D95" s="4"/>
      <c r="E95" s="4"/>
      <c r="F95" s="4"/>
      <c r="G95" s="4"/>
      <c r="H95" s="18"/>
      <c r="I95" s="18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21"/>
      <c r="BI95" s="21"/>
      <c r="BJ95" s="21"/>
      <c r="BK95" s="21"/>
      <c r="BL95" s="21"/>
    </row>
    <row r="96" spans="1:64" ht="12.75">
      <c r="A96" s="4"/>
      <c r="B96" s="4"/>
      <c r="C96" s="4"/>
      <c r="D96" s="4"/>
      <c r="E96" s="4"/>
      <c r="F96" s="4"/>
      <c r="G96" s="4"/>
      <c r="H96" s="18"/>
      <c r="I96" s="16"/>
      <c r="J96" s="18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21"/>
      <c r="BI96" s="21"/>
      <c r="BJ96" s="21"/>
      <c r="BK96" s="21"/>
      <c r="BL96" s="21"/>
    </row>
    <row r="97" spans="8:64" ht="12.75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</row>
    <row r="98" spans="8:64" ht="12.75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</row>
    <row r="99" spans="8:64" ht="12.75"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</row>
    <row r="100" spans="8:64" ht="12.75"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</row>
    <row r="101" spans="8:64" ht="12.75"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</row>
    <row r="102" spans="8:64" ht="12.75"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</row>
    <row r="103" spans="8:64" ht="12.75"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</row>
    <row r="104" spans="8:64" ht="12.75"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</row>
    <row r="105" spans="8:64" ht="12.75"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</row>
    <row r="106" spans="8:64" ht="12.75"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</row>
    <row r="107" spans="8:64" ht="12.75"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</row>
    <row r="108" spans="8:64" ht="12.75"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</row>
    <row r="109" spans="8:64" ht="12.75"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</row>
    <row r="110" spans="8:64" ht="12.75"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</row>
    <row r="111" spans="8:64" ht="12.75"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</row>
    <row r="112" spans="8:64" ht="12.75"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</row>
    <row r="113" spans="8:64" ht="12.75"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</row>
    <row r="114" spans="8:64" ht="12.75"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</row>
    <row r="115" spans="8:64" ht="12.75"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</row>
    <row r="116" spans="8:64" ht="12.75"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</row>
    <row r="117" spans="8:64" ht="12.75"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</row>
  </sheetData>
  <sheetProtection/>
  <mergeCells count="84">
    <mergeCell ref="BD74:BE74"/>
    <mergeCell ref="BF74:BG74"/>
    <mergeCell ref="BH74:BI74"/>
    <mergeCell ref="BJ74:BK74"/>
    <mergeCell ref="AR74:AS74"/>
    <mergeCell ref="AT74:AU74"/>
    <mergeCell ref="AV74:AW74"/>
    <mergeCell ref="AX74:AY74"/>
    <mergeCell ref="AZ74:BA74"/>
    <mergeCell ref="BB74:BC74"/>
    <mergeCell ref="AF74:AG74"/>
    <mergeCell ref="AH74:AI74"/>
    <mergeCell ref="AJ74:AK74"/>
    <mergeCell ref="AL74:AM74"/>
    <mergeCell ref="AN74:AO74"/>
    <mergeCell ref="AP74:AQ74"/>
    <mergeCell ref="T74:U74"/>
    <mergeCell ref="V74:W74"/>
    <mergeCell ref="X74:Y74"/>
    <mergeCell ref="Z74:AA74"/>
    <mergeCell ref="AB74:AC74"/>
    <mergeCell ref="AD74:AE74"/>
    <mergeCell ref="H74:I74"/>
    <mergeCell ref="J74:K74"/>
    <mergeCell ref="L74:M74"/>
    <mergeCell ref="N74:O74"/>
    <mergeCell ref="P74:Q74"/>
    <mergeCell ref="R74:S74"/>
    <mergeCell ref="AV38:AW38"/>
    <mergeCell ref="AX38:AY38"/>
    <mergeCell ref="AZ38:BA38"/>
    <mergeCell ref="BB38:BC38"/>
    <mergeCell ref="BD38:BE38"/>
    <mergeCell ref="AJ71:AK71"/>
    <mergeCell ref="AZ71:BA71"/>
    <mergeCell ref="AJ38:AK38"/>
    <mergeCell ref="AL38:AM38"/>
    <mergeCell ref="AN38:AO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BF11:BG11"/>
    <mergeCell ref="BH11:BI11"/>
    <mergeCell ref="BJ11:BK11"/>
    <mergeCell ref="H38:I38"/>
    <mergeCell ref="J38:K38"/>
    <mergeCell ref="L38:M38"/>
    <mergeCell ref="N38:O38"/>
    <mergeCell ref="P38:Q38"/>
    <mergeCell ref="R38:S38"/>
    <mergeCell ref="T38:U38"/>
    <mergeCell ref="BB11:BC11"/>
    <mergeCell ref="BD11:BE11"/>
    <mergeCell ref="H11:I11"/>
    <mergeCell ref="AZ11:BA11"/>
    <mergeCell ref="J11:K11"/>
    <mergeCell ref="L11:M11"/>
    <mergeCell ref="AH11:AI11"/>
    <mergeCell ref="AR11:AS11"/>
    <mergeCell ref="AF11:AG11"/>
    <mergeCell ref="AD11:AE11"/>
    <mergeCell ref="AX11:AY11"/>
    <mergeCell ref="AT11:AU11"/>
    <mergeCell ref="AV11:AW11"/>
    <mergeCell ref="AJ7:AK7"/>
    <mergeCell ref="AL11:AM11"/>
    <mergeCell ref="AP11:AQ11"/>
    <mergeCell ref="AN11:AO11"/>
    <mergeCell ref="P11:Q11"/>
    <mergeCell ref="V38:W38"/>
    <mergeCell ref="N11:O11"/>
    <mergeCell ref="AJ11:AK11"/>
    <mergeCell ref="R11:S11"/>
    <mergeCell ref="T11:U11"/>
    <mergeCell ref="V11:W11"/>
    <mergeCell ref="X11:Y11"/>
    <mergeCell ref="Z11:AA11"/>
    <mergeCell ref="AB11:AC11"/>
  </mergeCells>
  <printOptions/>
  <pageMargins left="0.5118110236220472" right="0.5905511811023623" top="0.27" bottom="0.23" header="0" footer="0"/>
  <pageSetup horizontalDpi="600" verticalDpi="600" orientation="portrait" paperSize="9" scale="61" r:id="rId1"/>
  <colBreaks count="5" manualBreakCount="5">
    <brk id="11" max="100" man="1"/>
    <brk id="21" max="100" man="1"/>
    <brk id="31" max="100" man="1"/>
    <brk id="41" max="100" man="1"/>
    <brk id="5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Aditamento</dc:title>
  <dc:subject>Aditamento de prazo</dc:subject>
  <dc:creator>Mosca</dc:creator>
  <cp:keywords/>
  <dc:description/>
  <cp:lastModifiedBy>Usuario</cp:lastModifiedBy>
  <cp:lastPrinted>2014-11-05T16:10:44Z</cp:lastPrinted>
  <dcterms:created xsi:type="dcterms:W3CDTF">2001-04-24T18:44:42Z</dcterms:created>
  <dcterms:modified xsi:type="dcterms:W3CDTF">2014-11-05T16:11:47Z</dcterms:modified>
  <cp:category/>
  <cp:version/>
  <cp:contentType/>
  <cp:contentStatus/>
</cp:coreProperties>
</file>